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tab 11" sheetId="1" r:id="rId1"/>
  </sheets>
  <definedNames>
    <definedName name="_xlnm.Print_Area" localSheetId="0">'tab 11'!$A$1:$N$49</definedName>
  </definedNames>
  <calcPr fullCalcOnLoad="1"/>
</workbook>
</file>

<file path=xl/sharedStrings.xml><?xml version="1.0" encoding="utf-8"?>
<sst xmlns="http://schemas.openxmlformats.org/spreadsheetml/2006/main" count="76" uniqueCount="74">
  <si>
    <t>Supply</t>
  </si>
  <si>
    <t>Disappearance</t>
  </si>
  <si>
    <t>Price</t>
  </si>
  <si>
    <t xml:space="preserve">  Year</t>
  </si>
  <si>
    <t>Begin-</t>
  </si>
  <si>
    <t>Seed, loss,</t>
  </si>
  <si>
    <t>beginning</t>
  </si>
  <si>
    <t>ning</t>
  </si>
  <si>
    <t>Production</t>
  </si>
  <si>
    <t>Imports</t>
  </si>
  <si>
    <t>Total</t>
  </si>
  <si>
    <t>Crush</t>
  </si>
  <si>
    <t>Exports</t>
  </si>
  <si>
    <t>Food</t>
  </si>
  <si>
    <t>shrinkage,</t>
  </si>
  <si>
    <t>received</t>
  </si>
  <si>
    <t>August 1</t>
  </si>
  <si>
    <t>stocks</t>
  </si>
  <si>
    <t>and</t>
  </si>
  <si>
    <t>by</t>
  </si>
  <si>
    <t xml:space="preserve">                                                                                  residual           farmers</t>
  </si>
  <si>
    <t xml:space="preserve"> </t>
  </si>
  <si>
    <t>residual 1/</t>
  </si>
  <si>
    <t>farmers</t>
  </si>
  <si>
    <t>------------------------------------------------------------------- Million pounds-------------------------------------------------------------------</t>
  </si>
  <si>
    <t>Cents/lb.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</si>
  <si>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</si>
  <si>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</si>
  <si>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</si>
  <si>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</si>
  <si>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</si>
  <si>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</si>
  <si>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</si>
  <si>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</si>
  <si>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</si>
  <si>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</si>
  <si>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</si>
  <si>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</si>
  <si>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</si>
  <si>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</si>
  <si>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</si>
  <si>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</si>
  <si>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</si>
  <si>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</si>
  <si>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</si>
  <si>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</si>
  <si>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 xml:space="preserve">2000/01  </t>
  </si>
  <si>
    <t>2001/02</t>
  </si>
  <si>
    <t>2002/03</t>
  </si>
  <si>
    <t xml:space="preserve">2003/04  </t>
  </si>
  <si>
    <t>2004/05</t>
  </si>
  <si>
    <t>2005/06</t>
  </si>
  <si>
    <t>2006/07</t>
  </si>
  <si>
    <t xml:space="preserve">2007/08 </t>
  </si>
  <si>
    <t>2008/09</t>
  </si>
  <si>
    <t>2009/10</t>
  </si>
  <si>
    <t>2010/11</t>
  </si>
  <si>
    <t xml:space="preserve">2011/12 </t>
  </si>
  <si>
    <t>2012/13</t>
  </si>
  <si>
    <t xml:space="preserve">2013/14  </t>
  </si>
  <si>
    <t>1/ Estimates for farm use and local sales are not available, so these are now included in residual  use.  2/ Forecast</t>
  </si>
  <si>
    <t xml:space="preserve">2014/15 </t>
  </si>
  <si>
    <t>Table 11--Peanuts (farmers' stock basis):  Supply, disappearance, and price, U.S., 1980/81-2016/17</t>
  </si>
  <si>
    <t>Food use</t>
  </si>
  <si>
    <t>Season-average</t>
  </si>
  <si>
    <t>per capita</t>
  </si>
  <si>
    <t>(shelled basis)</t>
  </si>
  <si>
    <t>Pounds</t>
  </si>
  <si>
    <t xml:space="preserve">2015/16 </t>
  </si>
  <si>
    <t>2016/17  2/</t>
  </si>
  <si>
    <t>19.00-20.00</t>
  </si>
  <si>
    <r>
      <t xml:space="preserve">Sources: USDA, Economic Research Service using data from USDA, National Agricultural Statistics Service, </t>
    </r>
    <r>
      <rPr>
        <i/>
        <sz val="8"/>
        <rFont val="Helvetica"/>
        <family val="2"/>
      </rPr>
      <t>Crop Production</t>
    </r>
    <r>
      <rPr>
        <sz val="8"/>
        <rFont val="Helvetica"/>
        <family val="2"/>
      </rPr>
      <t xml:space="preserve"> and </t>
    </r>
  </si>
  <si>
    <r>
      <rPr>
        <i/>
        <sz val="8"/>
        <rFont val="Helvetica"/>
        <family val="0"/>
      </rPr>
      <t>Peanut Stocks and Processing</t>
    </r>
    <r>
      <rPr>
        <sz val="8"/>
        <rFont val="Helvetica"/>
        <family val="2"/>
      </rPr>
      <t xml:space="preserve"> and Agricultural Prices and USDA, Foreign Agricultural Service, </t>
    </r>
    <r>
      <rPr>
        <i/>
        <sz val="8"/>
        <rFont val="Helvetica"/>
        <family val="0"/>
      </rPr>
      <t>Global Agricultural Trade System</t>
    </r>
    <r>
      <rPr>
        <sz val="8"/>
        <rFont val="Helvetica"/>
        <family val="2"/>
      </rPr>
      <t>.</t>
    </r>
  </si>
  <si>
    <t>Last updated: March 29,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</si>
</sst>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)"/>
    <numFmt numFmtId="165" formatCode="#,##0_____)"/>
    <numFmt numFmtId="166" formatCode="#,##0.0___)"/>
  </numFmts>
  <fonts count="38">
    <font>
      <sz val="8"/>
      <name val="Helvetica"/>
      <family val="0"/>
    </font>
    <font>
      <sz val="11"/>
      <color indexed="8"/>
      <name val="Calibri"/>
      <family val="2"/>
    </font>
    <font>
      <i/>
      <sz val="8"/>
      <name val="Helvetica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 quotePrefix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 horizontal="left" indent="3"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166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0" xfId="0" applyNumberFormat="1" applyFill="1" applyAlignment="1">
      <alignment horizontal="left" indent="3"/>
    </xf>
    <xf numFmtId="164" fontId="0" fillId="0" borderId="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 horizontal="left" indent="3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workbookViewId="0" topLeftCell="A1">
      <selection activeCell="A1" sqref="A1"/>
    </sheetView>
  </sheetViews>
  <sheetFormatPr defaultColWidth="9.33203125" defaultRowHeight="10.5"/>
  <cols>
    <col min="1" max="1" width="10.66015625" style="0" customWidth="1"/>
    <col min="2" max="2" width="8.66015625" style="0" customWidth="1"/>
    <col min="3" max="3" width="11" style="0" customWidth="1"/>
    <col min="4" max="4" width="8.16015625" style="0" customWidth="1"/>
    <col min="5" max="5" width="9" style="0" customWidth="1"/>
    <col min="6" max="6" width="3.5" style="0" customWidth="1"/>
    <col min="7" max="7" width="8.66015625" style="0" customWidth="1"/>
    <col min="8" max="8" width="10.66015625" style="0" customWidth="1"/>
    <col min="9" max="9" width="9.16015625" style="0" customWidth="1"/>
    <col min="10" max="10" width="10.16015625" style="0" customWidth="1"/>
    <col min="11" max="11" width="8" style="0" customWidth="1"/>
    <col min="12" max="12" width="0.65625" style="0" customWidth="1"/>
    <col min="13" max="14" width="12.83203125" style="0" customWidth="1"/>
  </cols>
  <sheetData>
    <row r="1" spans="1:14" ht="11.25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1.25">
      <c r="B2" s="34" t="s">
        <v>0</v>
      </c>
      <c r="C2" s="34"/>
      <c r="D2" s="34"/>
      <c r="E2" s="34"/>
      <c r="G2" s="34" t="s">
        <v>1</v>
      </c>
      <c r="H2" s="34"/>
      <c r="I2" s="34"/>
      <c r="J2" s="34"/>
      <c r="K2" s="34"/>
      <c r="M2" s="7" t="s">
        <v>2</v>
      </c>
      <c r="N2" s="3" t="s">
        <v>63</v>
      </c>
    </row>
    <row r="3" spans="1:14" ht="11.25">
      <c r="A3" t="s">
        <v>3</v>
      </c>
      <c r="B3" s="3" t="s">
        <v>4</v>
      </c>
      <c r="J3" s="3" t="s">
        <v>5</v>
      </c>
      <c r="M3" s="3" t="s">
        <v>64</v>
      </c>
      <c r="N3" s="3" t="s">
        <v>65</v>
      </c>
    </row>
    <row r="4" spans="1:14" ht="11.25">
      <c r="A4" t="s">
        <v>6</v>
      </c>
      <c r="B4" s="3" t="s">
        <v>7</v>
      </c>
      <c r="C4" s="4" t="s">
        <v>8</v>
      </c>
      <c r="D4" s="4" t="s">
        <v>9</v>
      </c>
      <c r="E4" s="3" t="s">
        <v>10</v>
      </c>
      <c r="G4" s="5" t="s">
        <v>11</v>
      </c>
      <c r="H4" s="6" t="s">
        <v>12</v>
      </c>
      <c r="I4" s="3" t="s">
        <v>13</v>
      </c>
      <c r="J4" s="3" t="s">
        <v>14</v>
      </c>
      <c r="K4" s="4" t="s">
        <v>10</v>
      </c>
      <c r="M4" s="3" t="s">
        <v>15</v>
      </c>
      <c r="N4" s="3" t="s">
        <v>66</v>
      </c>
    </row>
    <row r="5" spans="1:14" ht="11.25">
      <c r="A5" t="s">
        <v>16</v>
      </c>
      <c r="B5" s="3" t="s">
        <v>17</v>
      </c>
      <c r="C5" s="3"/>
      <c r="D5" s="3"/>
      <c r="E5" s="3"/>
      <c r="G5" s="3"/>
      <c r="H5" s="3"/>
      <c r="I5" s="3"/>
      <c r="J5" s="3" t="s">
        <v>18</v>
      </c>
      <c r="K5" s="3"/>
      <c r="M5" s="3" t="s">
        <v>19</v>
      </c>
      <c r="N5" s="3"/>
    </row>
    <row r="6" spans="1:14" ht="11.25">
      <c r="A6" s="2" t="s">
        <v>20</v>
      </c>
      <c r="B6" s="2"/>
      <c r="C6" s="2"/>
      <c r="D6" s="2" t="s">
        <v>21</v>
      </c>
      <c r="E6" s="2" t="s">
        <v>21</v>
      </c>
      <c r="F6" s="2"/>
      <c r="G6" s="7"/>
      <c r="H6" s="7"/>
      <c r="I6" s="7"/>
      <c r="J6" s="7" t="s">
        <v>22</v>
      </c>
      <c r="K6" s="7"/>
      <c r="L6" s="2"/>
      <c r="M6" s="7" t="s">
        <v>23</v>
      </c>
      <c r="N6" s="7"/>
    </row>
    <row r="7" spans="2:14" ht="11.25">
      <c r="B7" s="35" t="s">
        <v>24</v>
      </c>
      <c r="C7" s="35"/>
      <c r="D7" s="35"/>
      <c r="E7" s="35"/>
      <c r="F7" s="35"/>
      <c r="G7" s="35"/>
      <c r="H7" s="35"/>
      <c r="I7" s="35"/>
      <c r="J7" s="35"/>
      <c r="K7" s="35"/>
      <c r="M7" s="3" t="s">
        <v>25</v>
      </c>
      <c r="N7" s="8" t="s">
        <v>67</v>
      </c>
    </row>
    <row r="8" spans="2:14" ht="11.25">
      <c r="B8" s="9"/>
      <c r="C8" s="9"/>
      <c r="D8" s="9"/>
      <c r="E8" s="9"/>
      <c r="F8" s="9"/>
      <c r="G8" s="9"/>
      <c r="H8" s="9"/>
      <c r="I8" s="9"/>
      <c r="J8" s="9"/>
      <c r="K8" s="9"/>
      <c r="M8" s="8"/>
      <c r="N8" s="8"/>
    </row>
    <row r="9" spans="1:14" ht="11.25">
      <c r="A9" s="10" t="s">
        <v>26</v>
      </c>
      <c r="B9" s="11">
        <v>628</v>
      </c>
      <c r="C9" s="11">
        <v>2302.762</v>
      </c>
      <c r="D9" s="11">
        <v>401</v>
      </c>
      <c r="E9" s="11">
        <f aca="true" t="shared" si="0" ref="E9:E26">SUM(B9:D9)</f>
        <v>3331.762</v>
      </c>
      <c r="G9" s="12">
        <f>1.33*335.528</f>
        <v>446.25224000000003</v>
      </c>
      <c r="H9" s="11">
        <v>503</v>
      </c>
      <c r="I9" s="11">
        <v>1465</v>
      </c>
      <c r="J9" s="13">
        <f aca="true" t="shared" si="1" ref="J9:J45">+K9-G9-H9-I9</f>
        <v>504.5097599999999</v>
      </c>
      <c r="K9" s="11">
        <f aca="true" t="shared" si="2" ref="K9:K44">+E9-B10</f>
        <v>2918.762</v>
      </c>
      <c r="M9" s="14">
        <v>25.1</v>
      </c>
      <c r="N9" s="14">
        <f>+I9*0.7519/229.966</f>
        <v>4.789984171573189</v>
      </c>
    </row>
    <row r="10" spans="1:14" ht="11.25">
      <c r="A10" s="10" t="s">
        <v>27</v>
      </c>
      <c r="B10" s="11">
        <v>413</v>
      </c>
      <c r="C10" s="11">
        <v>3981.85</v>
      </c>
      <c r="D10" s="11">
        <v>2</v>
      </c>
      <c r="E10" s="11">
        <f t="shared" si="0"/>
        <v>4396.85</v>
      </c>
      <c r="G10" s="12">
        <f>1.33*431.48</f>
        <v>573.8684000000001</v>
      </c>
      <c r="H10" s="11">
        <v>576</v>
      </c>
      <c r="I10" s="11">
        <v>1696</v>
      </c>
      <c r="J10" s="13">
        <f t="shared" si="1"/>
        <v>793.9816000000001</v>
      </c>
      <c r="K10" s="11">
        <f t="shared" si="2"/>
        <v>3639.8500000000004</v>
      </c>
      <c r="M10" s="14">
        <v>26.9</v>
      </c>
      <c r="N10" s="14">
        <f>+I10*0.7519/232.188</f>
        <v>5.492197701862285</v>
      </c>
    </row>
    <row r="11" spans="1:14" ht="11.25">
      <c r="A11" s="10" t="s">
        <v>28</v>
      </c>
      <c r="B11" s="11">
        <v>757</v>
      </c>
      <c r="C11" s="11">
        <v>3440.255</v>
      </c>
      <c r="D11" s="11">
        <v>2</v>
      </c>
      <c r="E11" s="11">
        <f t="shared" si="0"/>
        <v>4199.255</v>
      </c>
      <c r="G11" s="12">
        <f>1.33*256.436</f>
        <v>341.05987999999996</v>
      </c>
      <c r="H11" s="11">
        <v>681</v>
      </c>
      <c r="I11" s="11">
        <v>1849</v>
      </c>
      <c r="J11" s="13">
        <f t="shared" si="1"/>
        <v>464.1951200000003</v>
      </c>
      <c r="K11" s="11">
        <f t="shared" si="2"/>
        <v>3335.255</v>
      </c>
      <c r="M11" s="14">
        <v>25.1</v>
      </c>
      <c r="N11" s="14">
        <f>+I11*0.7519/234.307</f>
        <v>5.933510735914847</v>
      </c>
    </row>
    <row r="12" spans="1:14" ht="11.25">
      <c r="A12" s="10" t="s">
        <v>29</v>
      </c>
      <c r="B12" s="11">
        <v>864</v>
      </c>
      <c r="C12" s="11">
        <v>3295.53</v>
      </c>
      <c r="D12" s="11">
        <v>2</v>
      </c>
      <c r="E12" s="11">
        <f t="shared" si="0"/>
        <v>4161.530000000001</v>
      </c>
      <c r="G12" s="12">
        <f>1.33*291.084</f>
        <v>387.14172</v>
      </c>
      <c r="H12" s="11">
        <v>744</v>
      </c>
      <c r="I12" s="11">
        <v>1856</v>
      </c>
      <c r="J12" s="13">
        <f t="shared" si="1"/>
        <v>563.3882800000006</v>
      </c>
      <c r="K12" s="11">
        <f t="shared" si="2"/>
        <v>3550.5300000000007</v>
      </c>
      <c r="M12" s="14">
        <v>24.7</v>
      </c>
      <c r="N12" s="14">
        <f>+I12*0.7519/236.348</f>
        <v>5.904540761927327</v>
      </c>
    </row>
    <row r="13" spans="1:14" ht="11.25">
      <c r="A13" s="10" t="s">
        <v>30</v>
      </c>
      <c r="B13" s="11">
        <v>611</v>
      </c>
      <c r="C13" s="11">
        <v>4405.945</v>
      </c>
      <c r="D13" s="11">
        <v>2</v>
      </c>
      <c r="E13" s="11">
        <f t="shared" si="0"/>
        <v>5018.945</v>
      </c>
      <c r="G13" s="12">
        <f>1.33*470.264</f>
        <v>625.4511200000001</v>
      </c>
      <c r="H13" s="11">
        <v>860</v>
      </c>
      <c r="I13" s="11">
        <v>1911</v>
      </c>
      <c r="J13" s="13">
        <f t="shared" si="1"/>
        <v>198.49387999999954</v>
      </c>
      <c r="K13" s="11">
        <f t="shared" si="2"/>
        <v>3594.9449999999997</v>
      </c>
      <c r="M13" s="14">
        <v>27.9</v>
      </c>
      <c r="N13" s="14">
        <f>+I13*0.7519/238.466</f>
        <v>6.025516845168704</v>
      </c>
    </row>
    <row r="14" spans="1:14" ht="11.25">
      <c r="A14" s="10" t="s">
        <v>31</v>
      </c>
      <c r="B14" s="11">
        <v>1424</v>
      </c>
      <c r="C14" s="11">
        <v>4122.787</v>
      </c>
      <c r="D14" s="11">
        <v>2</v>
      </c>
      <c r="E14" s="11">
        <f t="shared" si="0"/>
        <v>5548.787</v>
      </c>
      <c r="G14" s="12">
        <f>1.33*610.897</f>
        <v>812.4930100000001</v>
      </c>
      <c r="H14" s="11">
        <v>1045.7</v>
      </c>
      <c r="I14" s="11">
        <v>2023</v>
      </c>
      <c r="J14" s="13">
        <f t="shared" si="1"/>
        <v>822.5939900000003</v>
      </c>
      <c r="K14" s="11">
        <f t="shared" si="2"/>
        <v>4703.787</v>
      </c>
      <c r="M14" s="14">
        <v>24.3</v>
      </c>
      <c r="N14" s="14">
        <f>+I14*0.7519/240.651</f>
        <v>6.320745394783317</v>
      </c>
    </row>
    <row r="15" spans="1:14" ht="11.25">
      <c r="A15" s="10" t="s">
        <v>32</v>
      </c>
      <c r="B15" s="11">
        <v>845</v>
      </c>
      <c r="C15" s="11">
        <v>3697.085</v>
      </c>
      <c r="D15" s="11">
        <v>2</v>
      </c>
      <c r="E15" s="11">
        <f t="shared" si="0"/>
        <v>4544.085</v>
      </c>
      <c r="G15" s="12">
        <f>1.33*386.388</f>
        <v>513.89604</v>
      </c>
      <c r="H15" s="11">
        <v>664.86</v>
      </c>
      <c r="I15" s="11">
        <v>2073</v>
      </c>
      <c r="J15" s="13">
        <f t="shared" si="1"/>
        <v>289.3289599999998</v>
      </c>
      <c r="K15" s="11">
        <f t="shared" si="2"/>
        <v>3541.085</v>
      </c>
      <c r="M15" s="14">
        <v>29.2</v>
      </c>
      <c r="N15" s="14">
        <f>+I15*0.7519/242.804</f>
        <v>6.419534686413733</v>
      </c>
    </row>
    <row r="16" spans="1:14" ht="11.25">
      <c r="A16" s="10" t="s">
        <v>33</v>
      </c>
      <c r="B16" s="11">
        <v>1003</v>
      </c>
      <c r="C16" s="11">
        <v>3616.01</v>
      </c>
      <c r="D16" s="11">
        <f>784*1.33*2.2046*0.001</f>
        <v>2.2987805120000004</v>
      </c>
      <c r="E16" s="11">
        <f t="shared" si="0"/>
        <v>4621.308780512</v>
      </c>
      <c r="G16" s="12">
        <f>1.33*421.214</f>
        <v>560.2146200000001</v>
      </c>
      <c r="H16" s="11">
        <v>619.6</v>
      </c>
      <c r="I16" s="11">
        <v>2071.14</v>
      </c>
      <c r="J16" s="13">
        <f t="shared" si="1"/>
        <v>537.0961605120006</v>
      </c>
      <c r="K16" s="11">
        <f t="shared" si="2"/>
        <v>3788.0507805120005</v>
      </c>
      <c r="M16" s="14">
        <v>28</v>
      </c>
      <c r="N16" s="14">
        <f>+I16*0.7519/245.021</f>
        <v>6.355741613984108</v>
      </c>
    </row>
    <row r="17" spans="1:14" ht="11.25">
      <c r="A17" s="10" t="s">
        <v>34</v>
      </c>
      <c r="B17" s="11">
        <v>833.258</v>
      </c>
      <c r="C17" s="11">
        <v>3980.917</v>
      </c>
      <c r="D17" s="11">
        <f>877*1.33*2.2046*0.001</f>
        <v>2.5714674860000004</v>
      </c>
      <c r="E17" s="11">
        <f t="shared" si="0"/>
        <v>4816.746467486</v>
      </c>
      <c r="G17" s="15">
        <f>1.33*612.2</f>
        <v>814.2260000000001</v>
      </c>
      <c r="H17" s="11">
        <v>689.4</v>
      </c>
      <c r="I17" s="11">
        <v>2254.691</v>
      </c>
      <c r="J17" s="13">
        <f t="shared" si="1"/>
        <v>215.67846748600005</v>
      </c>
      <c r="K17" s="11">
        <f t="shared" si="2"/>
        <v>3973.995467486</v>
      </c>
      <c r="M17" s="14">
        <v>27.9</v>
      </c>
      <c r="N17" s="14">
        <f>+I17*0.7519/247.342</f>
        <v>6.854081243379611</v>
      </c>
    </row>
    <row r="18" spans="1:14" ht="11.25">
      <c r="A18" s="10" t="s">
        <v>35</v>
      </c>
      <c r="B18" s="11">
        <v>842.751</v>
      </c>
      <c r="C18" s="11">
        <v>3989.995</v>
      </c>
      <c r="D18" s="11">
        <f>1432*1.33*2.2046*0.001</f>
        <v>4.198792976000001</v>
      </c>
      <c r="E18" s="11">
        <f t="shared" si="0"/>
        <v>4836.944792976</v>
      </c>
      <c r="G18" s="12">
        <f>1.33*469.351</f>
        <v>624.23683</v>
      </c>
      <c r="H18" s="11">
        <v>990.46</v>
      </c>
      <c r="I18" s="11">
        <v>2312.438</v>
      </c>
      <c r="J18" s="13">
        <f t="shared" si="1"/>
        <v>208.80996297599995</v>
      </c>
      <c r="K18" s="11">
        <f t="shared" si="2"/>
        <v>4135.944792976</v>
      </c>
      <c r="M18" s="14">
        <v>28</v>
      </c>
      <c r="N18" s="14">
        <f>+I18*0.7519/250.132</f>
        <v>6.951218285545232</v>
      </c>
    </row>
    <row r="19" spans="1:14" ht="11.25">
      <c r="A19" s="10" t="s">
        <v>36</v>
      </c>
      <c r="B19" s="11">
        <v>701</v>
      </c>
      <c r="C19" s="11">
        <v>3603.65</v>
      </c>
      <c r="D19" s="11">
        <f>9335*1.33*2.2046*0.001</f>
        <v>27.371321530000007</v>
      </c>
      <c r="E19" s="11">
        <f t="shared" si="0"/>
        <v>4332.02132153</v>
      </c>
      <c r="G19" s="12">
        <f>1.33*517.712</f>
        <v>688.55696</v>
      </c>
      <c r="H19" s="11">
        <v>654.9</v>
      </c>
      <c r="I19" s="11">
        <v>2019.968</v>
      </c>
      <c r="J19" s="13">
        <f t="shared" si="1"/>
        <v>285.13636152999993</v>
      </c>
      <c r="K19" s="11">
        <f t="shared" si="2"/>
        <v>3648.56132153</v>
      </c>
      <c r="M19" s="14">
        <v>34.7</v>
      </c>
      <c r="N19" s="14">
        <f>+I19*0.7519/253.493</f>
        <v>5.991541932913335</v>
      </c>
    </row>
    <row r="20" spans="1:14" ht="11.25">
      <c r="A20" s="10" t="s">
        <v>37</v>
      </c>
      <c r="B20" s="11">
        <v>683.46</v>
      </c>
      <c r="C20" s="11">
        <v>4926.57</v>
      </c>
      <c r="D20" s="11">
        <f>1809*1.33*2.2046*0.001</f>
        <v>5.304201462000001</v>
      </c>
      <c r="E20" s="11">
        <f t="shared" si="0"/>
        <v>5615.334201461999</v>
      </c>
      <c r="G20" s="12">
        <f>1.33*828.986</f>
        <v>1102.55138</v>
      </c>
      <c r="H20" s="11">
        <v>1001.8</v>
      </c>
      <c r="I20" s="11">
        <v>2207.205</v>
      </c>
      <c r="J20" s="13">
        <f t="shared" si="1"/>
        <v>248.77782146199934</v>
      </c>
      <c r="K20" s="11">
        <f t="shared" si="2"/>
        <v>4560.334201461999</v>
      </c>
      <c r="M20" s="14">
        <v>28.3</v>
      </c>
      <c r="N20" s="14">
        <f>+I20*0.7519/256.894</f>
        <v>6.460242121264024</v>
      </c>
    </row>
    <row r="21" spans="1:14" ht="11.25">
      <c r="A21" s="10" t="s">
        <v>38</v>
      </c>
      <c r="B21" s="11">
        <v>1055</v>
      </c>
      <c r="C21" s="11">
        <v>4284.416</v>
      </c>
      <c r="D21" s="11">
        <f>645*1.33*2.2046*0.001</f>
        <v>1.89121611</v>
      </c>
      <c r="E21" s="11">
        <f t="shared" si="0"/>
        <v>5341.30721611</v>
      </c>
      <c r="G21" s="12">
        <f>1.33*669.942</f>
        <v>891.02286</v>
      </c>
      <c r="H21" s="11">
        <v>951</v>
      </c>
      <c r="I21" s="11">
        <v>2121.891</v>
      </c>
      <c r="J21" s="13">
        <f t="shared" si="1"/>
        <v>27.297356109999782</v>
      </c>
      <c r="K21" s="11">
        <f t="shared" si="2"/>
        <v>3991.21121611</v>
      </c>
      <c r="M21" s="14">
        <v>30</v>
      </c>
      <c r="N21" s="14">
        <f>+I21*0.7519/260.255</f>
        <v>6.130333107529155</v>
      </c>
    </row>
    <row r="22" spans="1:14" ht="11.25">
      <c r="A22" s="10" t="s">
        <v>39</v>
      </c>
      <c r="B22" s="11">
        <v>1350.096</v>
      </c>
      <c r="C22" s="11">
        <v>3392.415</v>
      </c>
      <c r="D22" s="11">
        <f>1.42*1.33</f>
        <v>1.8886</v>
      </c>
      <c r="E22" s="11">
        <f t="shared" si="0"/>
        <v>4744.399600000001</v>
      </c>
      <c r="G22" s="12">
        <f>1.33*503.674</f>
        <v>669.88642</v>
      </c>
      <c r="H22" s="11">
        <v>532.55</v>
      </c>
      <c r="I22" s="11">
        <v>2088.073</v>
      </c>
      <c r="J22" s="13">
        <f t="shared" si="1"/>
        <v>392.92518000000064</v>
      </c>
      <c r="K22" s="11">
        <f t="shared" si="2"/>
        <v>3683.4346000000005</v>
      </c>
      <c r="M22" s="14">
        <v>30.4</v>
      </c>
      <c r="N22" s="14">
        <f>+I22*0.7519/263.436</f>
        <v>5.959785635600297</v>
      </c>
    </row>
    <row r="23" spans="1:14" ht="11.25">
      <c r="A23" s="10" t="s">
        <v>40</v>
      </c>
      <c r="B23" s="11">
        <v>1060.965</v>
      </c>
      <c r="C23" s="11">
        <v>4247.455</v>
      </c>
      <c r="D23" s="11">
        <f>55.385*1.33</f>
        <v>73.66205000000001</v>
      </c>
      <c r="E23" s="11">
        <f t="shared" si="0"/>
        <v>5382.08205</v>
      </c>
      <c r="G23" s="12">
        <f>1.33*738.221</f>
        <v>981.83393</v>
      </c>
      <c r="H23" s="11">
        <v>878.1</v>
      </c>
      <c r="I23" s="11">
        <v>2009.231</v>
      </c>
      <c r="J23" s="13">
        <f t="shared" si="1"/>
        <v>315.09012000000007</v>
      </c>
      <c r="K23" s="11">
        <f t="shared" si="2"/>
        <v>4184.25505</v>
      </c>
      <c r="M23" s="14">
        <v>28.9</v>
      </c>
      <c r="N23" s="14">
        <f>+I23*0.7519/266.557</f>
        <v>5.66760876247857</v>
      </c>
    </row>
    <row r="24" spans="1:14" ht="11.25">
      <c r="A24" s="10" t="s">
        <v>41</v>
      </c>
      <c r="B24" s="11">
        <v>1197.827</v>
      </c>
      <c r="C24" s="11">
        <v>3461.475</v>
      </c>
      <c r="D24" s="11">
        <f>114.788*1.33</f>
        <v>152.66804</v>
      </c>
      <c r="E24" s="11">
        <f t="shared" si="0"/>
        <v>4811.970039999999</v>
      </c>
      <c r="G24" s="12">
        <f>1.33*751.281</f>
        <v>999.20373</v>
      </c>
      <c r="H24" s="11">
        <v>826</v>
      </c>
      <c r="I24" s="11">
        <v>1992.854</v>
      </c>
      <c r="J24" s="13">
        <f t="shared" si="1"/>
        <v>236.37030999999956</v>
      </c>
      <c r="K24" s="11">
        <f t="shared" si="2"/>
        <v>4054.4280399999993</v>
      </c>
      <c r="M24" s="14">
        <v>29.3</v>
      </c>
      <c r="N24" s="14">
        <f>+I24*0.7519/269.667</f>
        <v>5.55658246133194</v>
      </c>
    </row>
    <row r="25" spans="1:14" ht="11.25">
      <c r="A25" s="10" t="s">
        <v>42</v>
      </c>
      <c r="B25" s="11">
        <v>757.542</v>
      </c>
      <c r="C25" s="11">
        <v>3661.205</v>
      </c>
      <c r="D25" s="11">
        <v>126.74235</v>
      </c>
      <c r="E25" s="11">
        <f>SUM(B25:D25)</f>
        <v>4545.489350000001</v>
      </c>
      <c r="G25" s="12">
        <f>1.33*520.413</f>
        <v>692.1492900000001</v>
      </c>
      <c r="H25" s="11">
        <v>668.48</v>
      </c>
      <c r="I25" s="11">
        <v>2029.469</v>
      </c>
      <c r="J25" s="13">
        <f t="shared" si="1"/>
        <v>360.7670600000006</v>
      </c>
      <c r="K25" s="11">
        <f t="shared" si="2"/>
        <v>3750.865350000001</v>
      </c>
      <c r="M25" s="14">
        <v>28.1</v>
      </c>
      <c r="N25" s="14">
        <f>+I25*0.7519/272.912</f>
        <v>5.591391148428798</v>
      </c>
    </row>
    <row r="26" spans="1:14" ht="11.25">
      <c r="A26" s="10" t="s">
        <v>43</v>
      </c>
      <c r="B26" s="11">
        <v>794.624</v>
      </c>
      <c r="C26" s="11">
        <v>3539.38</v>
      </c>
      <c r="D26" s="11">
        <v>141.293</v>
      </c>
      <c r="E26" s="11">
        <f t="shared" si="0"/>
        <v>4475.297</v>
      </c>
      <c r="G26" s="12">
        <f>1.33*409.249</f>
        <v>544.3011700000001</v>
      </c>
      <c r="H26" s="11">
        <v>681.9</v>
      </c>
      <c r="I26" s="11">
        <v>2098.504</v>
      </c>
      <c r="J26" s="13">
        <f t="shared" si="1"/>
        <v>302.10682999999926</v>
      </c>
      <c r="K26" s="11">
        <f t="shared" si="2"/>
        <v>3626.8119999999994</v>
      </c>
      <c r="M26" s="14">
        <v>28.3</v>
      </c>
      <c r="N26" s="14">
        <f>+I26*0.7519/276.115</f>
        <v>5.71452169422161</v>
      </c>
    </row>
    <row r="27" spans="1:14" ht="11.25">
      <c r="A27" s="10" t="s">
        <v>44</v>
      </c>
      <c r="B27" s="11">
        <v>848.485</v>
      </c>
      <c r="C27" s="11">
        <v>3963.44</v>
      </c>
      <c r="D27" s="11">
        <f>52.909*1.333*2.204622</f>
        <v>155.48691241553402</v>
      </c>
      <c r="E27" s="11">
        <f aca="true" t="shared" si="3" ref="E27:E45">SUM(B27:D27)</f>
        <v>4967.411912415534</v>
      </c>
      <c r="G27" s="12">
        <f>1.33*345.825</f>
        <v>459.94725</v>
      </c>
      <c r="H27" s="11">
        <v>562.1</v>
      </c>
      <c r="I27" s="11">
        <v>2152.8</v>
      </c>
      <c r="J27" s="13">
        <f t="shared" si="1"/>
        <v>400.8396624155339</v>
      </c>
      <c r="K27" s="11">
        <f t="shared" si="2"/>
        <v>3575.686912415534</v>
      </c>
      <c r="M27" s="14">
        <v>28.4</v>
      </c>
      <c r="N27" s="14">
        <f>+I27*0.7519/279.295</f>
        <v>5.795629424085645</v>
      </c>
    </row>
    <row r="28" spans="1:14" ht="11.25">
      <c r="A28" s="10" t="s">
        <v>45</v>
      </c>
      <c r="B28" s="11">
        <v>1391.725</v>
      </c>
      <c r="C28" s="11">
        <v>3829.49</v>
      </c>
      <c r="D28" s="11">
        <f>61.3085*1.333*2.204622</f>
        <v>180.17103649337102</v>
      </c>
      <c r="E28" s="11">
        <f t="shared" si="3"/>
        <v>5401.386036493371</v>
      </c>
      <c r="G28" s="12">
        <f>1.33*536.164</f>
        <v>713.09812</v>
      </c>
      <c r="H28" s="11">
        <v>742.6</v>
      </c>
      <c r="I28" s="11">
        <v>2233.3944012</v>
      </c>
      <c r="J28" s="13">
        <f t="shared" si="1"/>
        <v>478.8775152933704</v>
      </c>
      <c r="K28" s="11">
        <f t="shared" si="2"/>
        <v>4167.970036493371</v>
      </c>
      <c r="M28" s="14">
        <v>25.4</v>
      </c>
      <c r="N28" s="14">
        <f>+I28*0.7519/282.385</f>
        <v>5.9468075509049</v>
      </c>
    </row>
    <row r="29" spans="1:14" ht="11.25">
      <c r="A29" s="16" t="s">
        <v>46</v>
      </c>
      <c r="B29" s="17">
        <v>1233.416</v>
      </c>
      <c r="C29" s="11">
        <v>3265.505</v>
      </c>
      <c r="D29" s="11">
        <f>73.373*1.333*2.204622</f>
        <v>215.62572009799803</v>
      </c>
      <c r="E29" s="17">
        <f t="shared" si="3"/>
        <v>4714.546720097998</v>
      </c>
      <c r="F29" s="18"/>
      <c r="G29" s="12">
        <f>1.33*411.558</f>
        <v>547.3721400000001</v>
      </c>
      <c r="H29" s="17">
        <v>527.2</v>
      </c>
      <c r="I29" s="17">
        <v>2183.6</v>
      </c>
      <c r="J29" s="13">
        <f t="shared" si="1"/>
        <v>359.8045800979985</v>
      </c>
      <c r="K29" s="11">
        <f t="shared" si="2"/>
        <v>3617.9767200979986</v>
      </c>
      <c r="L29" s="18"/>
      <c r="M29" s="14">
        <v>27.4</v>
      </c>
      <c r="N29" s="14">
        <f>+I29*0.7519/285.309</f>
        <v>5.7546338881703685</v>
      </c>
    </row>
    <row r="30" spans="1:14" ht="11.25">
      <c r="A30" s="16" t="s">
        <v>47</v>
      </c>
      <c r="B30" s="17">
        <v>1096.57</v>
      </c>
      <c r="C30" s="11">
        <v>4276.704</v>
      </c>
      <c r="D30" s="11">
        <f>1.333*2.204622*69.0115</f>
        <v>202.808313446949</v>
      </c>
      <c r="E30" s="17">
        <f t="shared" si="3"/>
        <v>5576.082313446948</v>
      </c>
      <c r="F30" s="18"/>
      <c r="G30" s="12">
        <f>1.33*521.173</f>
        <v>693.1600900000001</v>
      </c>
      <c r="H30" s="17">
        <v>699.7</v>
      </c>
      <c r="I30" s="17">
        <v>2225.1</v>
      </c>
      <c r="J30" s="13">
        <f t="shared" si="1"/>
        <v>481.71322344694863</v>
      </c>
      <c r="K30" s="11">
        <f t="shared" si="2"/>
        <v>4099.673313446949</v>
      </c>
      <c r="L30" s="18"/>
      <c r="M30" s="14">
        <v>23.4</v>
      </c>
      <c r="N30" s="14">
        <f>+I30*0.7519/288.105</f>
        <v>5.807093559639714</v>
      </c>
    </row>
    <row r="31" spans="1:14" ht="11.25">
      <c r="A31" s="16" t="s">
        <v>48</v>
      </c>
      <c r="B31" s="17">
        <v>1476.409</v>
      </c>
      <c r="C31" s="11">
        <v>3321.04</v>
      </c>
      <c r="D31" s="11">
        <f>1.333*2.204622*25.6475</f>
        <v>75.371875979085</v>
      </c>
      <c r="E31" s="17">
        <f t="shared" si="3"/>
        <v>4872.820875979086</v>
      </c>
      <c r="F31" s="18"/>
      <c r="G31" s="12">
        <f>1.33*644.194</f>
        <v>856.77802</v>
      </c>
      <c r="H31" s="17">
        <v>489.9</v>
      </c>
      <c r="I31" s="17">
        <v>2241.2</v>
      </c>
      <c r="J31" s="13">
        <f t="shared" si="1"/>
        <v>409.8198559790858</v>
      </c>
      <c r="K31" s="11">
        <f t="shared" si="2"/>
        <v>3997.697875979086</v>
      </c>
      <c r="L31" s="18"/>
      <c r="M31" s="14">
        <v>18.24</v>
      </c>
      <c r="N31" s="14">
        <f>+I31*0.7519/290.82</f>
        <v>5.794506155009971</v>
      </c>
    </row>
    <row r="32" spans="1:14" ht="11.25">
      <c r="A32" s="16" t="s">
        <v>49</v>
      </c>
      <c r="B32" s="12">
        <v>875.123</v>
      </c>
      <c r="C32" s="11">
        <v>4144.15</v>
      </c>
      <c r="D32" s="11">
        <f>1.333*2.204622*12.9604</f>
        <v>38.0875196974104</v>
      </c>
      <c r="E32" s="12">
        <f t="shared" si="3"/>
        <v>5057.3605196974095</v>
      </c>
      <c r="F32" s="19"/>
      <c r="G32" s="12">
        <f>1.33*402.958</f>
        <v>535.9341400000001</v>
      </c>
      <c r="H32" s="12">
        <v>515.9</v>
      </c>
      <c r="I32" s="12">
        <v>2455.9</v>
      </c>
      <c r="J32" s="20">
        <f t="shared" si="1"/>
        <v>428.7103796974088</v>
      </c>
      <c r="K32" s="15">
        <f t="shared" si="2"/>
        <v>3936.4445196974093</v>
      </c>
      <c r="L32" s="19"/>
      <c r="M32" s="14">
        <v>19.25</v>
      </c>
      <c r="N32" s="14">
        <f>+I32*0.7519/293.463</f>
        <v>6.292415773027605</v>
      </c>
    </row>
    <row r="33" spans="1:14" ht="11.25">
      <c r="A33" s="16" t="s">
        <v>50</v>
      </c>
      <c r="B33" s="12">
        <v>1120.916</v>
      </c>
      <c r="C33" s="11">
        <v>4288.2</v>
      </c>
      <c r="D33" s="11">
        <f>1.333*2.204622*12.5438</f>
        <v>36.8632318123188</v>
      </c>
      <c r="E33" s="12">
        <f t="shared" si="3"/>
        <v>5445.979231812319</v>
      </c>
      <c r="F33" s="19"/>
      <c r="G33" s="12">
        <f>1.33*295.769</f>
        <v>393.37277</v>
      </c>
      <c r="H33" s="12">
        <v>491</v>
      </c>
      <c r="I33" s="12">
        <v>2600</v>
      </c>
      <c r="J33" s="20">
        <f t="shared" si="1"/>
        <v>547.0314618123193</v>
      </c>
      <c r="K33" s="15">
        <f t="shared" si="2"/>
        <v>4031.4042318123193</v>
      </c>
      <c r="L33" s="19"/>
      <c r="M33" s="14">
        <v>18.9</v>
      </c>
      <c r="N33" s="14">
        <f>+I33*0.7519/296.186</f>
        <v>6.600379491265624</v>
      </c>
    </row>
    <row r="34" spans="1:14" ht="11.25">
      <c r="A34" s="16" t="s">
        <v>51</v>
      </c>
      <c r="B34" s="12">
        <v>1414.575</v>
      </c>
      <c r="C34" s="11">
        <v>4869.86</v>
      </c>
      <c r="D34" s="11">
        <f>1.333*2.204622*10.9229</f>
        <v>32.0997939031854</v>
      </c>
      <c r="E34" s="12">
        <f t="shared" si="3"/>
        <v>6316.534793903185</v>
      </c>
      <c r="F34" s="19"/>
      <c r="G34" s="12">
        <f>1.33*407.817</f>
        <v>542.39661</v>
      </c>
      <c r="H34" s="12">
        <v>491</v>
      </c>
      <c r="I34" s="12">
        <v>2616</v>
      </c>
      <c r="J34" s="20">
        <f t="shared" si="1"/>
        <v>500.50818390318545</v>
      </c>
      <c r="K34" s="15">
        <f t="shared" si="2"/>
        <v>4149.904793903185</v>
      </c>
      <c r="L34" s="19"/>
      <c r="M34" s="14">
        <v>17.3</v>
      </c>
      <c r="N34" s="14">
        <f>+I34*0.7519/298.996</f>
        <v>6.578584328887343</v>
      </c>
    </row>
    <row r="35" spans="1:14" ht="11.25">
      <c r="A35" s="16" t="s">
        <v>52</v>
      </c>
      <c r="B35" s="12">
        <v>2166.63</v>
      </c>
      <c r="C35" s="11">
        <v>3464.25</v>
      </c>
      <c r="D35" s="15">
        <f>1.333*2.204622*20.7441</f>
        <v>60.9619546738566</v>
      </c>
      <c r="E35" s="12">
        <f t="shared" si="3"/>
        <v>5691.841954673857</v>
      </c>
      <c r="F35" s="19"/>
      <c r="G35" s="12">
        <f>1.33*385.375</f>
        <v>512.54875</v>
      </c>
      <c r="H35" s="12">
        <f>1.333*2.204622*(207.4113-0.25*8.8906)</f>
        <v>603.00042811642</v>
      </c>
      <c r="I35" s="12">
        <v>2585.4</v>
      </c>
      <c r="J35" s="20">
        <f t="shared" si="1"/>
        <v>470.7717765574366</v>
      </c>
      <c r="K35" s="15">
        <f t="shared" si="2"/>
        <v>4171.720954673857</v>
      </c>
      <c r="L35" s="19"/>
      <c r="M35" s="14">
        <v>17.7</v>
      </c>
      <c r="N35" s="14">
        <f>+I35*0.7519/302.004</f>
        <v>6.436875869193785</v>
      </c>
    </row>
    <row r="36" spans="1:14" ht="11.25">
      <c r="A36" s="16" t="s">
        <v>53</v>
      </c>
      <c r="B36" s="12">
        <v>1520.121</v>
      </c>
      <c r="C36" s="11">
        <v>3672.25</v>
      </c>
      <c r="D36" s="15">
        <f>1.333*2.204622*24.8198</f>
        <v>72.9394633950948</v>
      </c>
      <c r="E36" s="12">
        <f t="shared" si="3"/>
        <v>5265.310463395095</v>
      </c>
      <c r="F36" s="19"/>
      <c r="G36" s="12">
        <f>1.33*372.98</f>
        <v>496.06340000000006</v>
      </c>
      <c r="H36" s="12">
        <f>1.333*2.204622*(261.6465-0.25*25.5479)</f>
        <v>750.1467691112251</v>
      </c>
      <c r="I36" s="12">
        <v>2516.53</v>
      </c>
      <c r="J36" s="20">
        <f t="shared" si="1"/>
        <v>471.26329428387</v>
      </c>
      <c r="K36" s="15">
        <f t="shared" si="2"/>
        <v>4234.003463395095</v>
      </c>
      <c r="L36" s="19"/>
      <c r="M36" s="14">
        <v>20.5</v>
      </c>
      <c r="N36" s="14">
        <f>+I36*0.7519/304.798</f>
        <v>6.20797678134371</v>
      </c>
    </row>
    <row r="37" spans="1:14" ht="11.25">
      <c r="A37" s="16" t="s">
        <v>54</v>
      </c>
      <c r="B37" s="12">
        <v>1031.307</v>
      </c>
      <c r="C37" s="11">
        <v>5162.4</v>
      </c>
      <c r="D37" s="15">
        <f>1.333*2.204622*29.1919</f>
        <v>85.78802091407941</v>
      </c>
      <c r="E37" s="12">
        <f t="shared" si="3"/>
        <v>6279.495020914079</v>
      </c>
      <c r="F37" s="19"/>
      <c r="G37" s="12">
        <f>1.33*334.296</f>
        <v>444.61368</v>
      </c>
      <c r="H37" s="12">
        <f>1.333*2.204622*(254.8416-0.25*30.432)</f>
        <v>726.5604927210336</v>
      </c>
      <c r="I37" s="12">
        <v>2571.317</v>
      </c>
      <c r="J37" s="20">
        <f t="shared" si="1"/>
        <v>406.9038481930447</v>
      </c>
      <c r="K37" s="15">
        <f t="shared" si="2"/>
        <v>4149.3950209140785</v>
      </c>
      <c r="L37" s="19"/>
      <c r="M37" s="14">
        <v>23</v>
      </c>
      <c r="N37" s="14">
        <f>+I37*0.7519/307.439</f>
        <v>6.288640193013898</v>
      </c>
    </row>
    <row r="38" spans="1:14" ht="11.25">
      <c r="A38" s="21" t="s">
        <v>55</v>
      </c>
      <c r="B38" s="12">
        <v>2130.1</v>
      </c>
      <c r="C38" s="11">
        <v>3691.65</v>
      </c>
      <c r="D38" s="15">
        <f>1.333*2.204622*24.4907</f>
        <v>71.9723171085282</v>
      </c>
      <c r="E38" s="12">
        <f t="shared" si="3"/>
        <v>5893.722317108528</v>
      </c>
      <c r="F38" s="19"/>
      <c r="G38" s="12">
        <f>1.33*326.779</f>
        <v>434.61607000000004</v>
      </c>
      <c r="H38" s="12">
        <f>1.333*2.204622*(207.8168-0.25*25.1427)</f>
        <v>592.2518358290467</v>
      </c>
      <c r="I38" s="12">
        <v>2674.875</v>
      </c>
      <c r="J38" s="20">
        <f t="shared" si="1"/>
        <v>363.2314112794811</v>
      </c>
      <c r="K38" s="15">
        <f t="shared" si="2"/>
        <v>4064.974317108528</v>
      </c>
      <c r="L38" s="19"/>
      <c r="M38" s="14">
        <v>21.7</v>
      </c>
      <c r="N38" s="14">
        <f>+I38*0.7519/309.348193</f>
        <v>6.50153632059522</v>
      </c>
    </row>
    <row r="39" spans="1:14" ht="11.25">
      <c r="A39" s="21" t="s">
        <v>56</v>
      </c>
      <c r="B39" s="12">
        <v>1828.748</v>
      </c>
      <c r="C39" s="11">
        <v>4156.84</v>
      </c>
      <c r="D39" s="15">
        <f>1.333*2.204622*21.9793</f>
        <v>64.5919124166918</v>
      </c>
      <c r="E39" s="12">
        <f t="shared" si="3"/>
        <v>6050.179912416692</v>
      </c>
      <c r="F39" s="19"/>
      <c r="G39" s="12">
        <f>1.33*441.017</f>
        <v>586.5526100000001</v>
      </c>
      <c r="H39" s="12">
        <f>1.3333*2.204622*(215.1149-0.25*35.6944)</f>
        <v>606.0833491222604</v>
      </c>
      <c r="I39" s="12">
        <v>2839.9</v>
      </c>
      <c r="J39" s="20">
        <f t="shared" si="1"/>
        <v>501.70495329443065</v>
      </c>
      <c r="K39" s="15">
        <f t="shared" si="2"/>
        <v>4534.240912416692</v>
      </c>
      <c r="L39" s="19"/>
      <c r="M39" s="14">
        <v>22.5</v>
      </c>
      <c r="N39" s="14">
        <f>+I39*0.7519/311.663358</f>
        <v>6.851369451008739</v>
      </c>
    </row>
    <row r="40" spans="1:14" ht="11.25">
      <c r="A40" s="21" t="s">
        <v>57</v>
      </c>
      <c r="B40" s="12">
        <v>1515.939</v>
      </c>
      <c r="C40" s="11">
        <v>3658.59</v>
      </c>
      <c r="D40" s="15">
        <f>1.333*2.204622*86.3958</f>
        <v>253.8966184896708</v>
      </c>
      <c r="E40" s="12">
        <f t="shared" si="3"/>
        <v>5428.425618489671</v>
      </c>
      <c r="F40" s="19"/>
      <c r="G40" s="12">
        <f>1.333*453.835</f>
        <v>604.962055</v>
      </c>
      <c r="H40" s="12">
        <f>1.3333*2.204622*(193.39119-0.25*(16.8492+13.4595))</f>
        <v>546.185898847594</v>
      </c>
      <c r="I40" s="12">
        <v>2805</v>
      </c>
      <c r="J40" s="20">
        <f t="shared" si="1"/>
        <v>468.94666464207694</v>
      </c>
      <c r="K40" s="15">
        <f t="shared" si="2"/>
        <v>4425.094618489671</v>
      </c>
      <c r="L40" s="19"/>
      <c r="M40" s="14">
        <v>31.8</v>
      </c>
      <c r="N40" s="14">
        <f>+I40*0.7519/313.998379</f>
        <v>6.716848369462442</v>
      </c>
    </row>
    <row r="41" spans="1:14" ht="11.25">
      <c r="A41" s="21" t="s">
        <v>58</v>
      </c>
      <c r="B41" s="12">
        <v>1003.331</v>
      </c>
      <c r="C41" s="11">
        <v>6753.88</v>
      </c>
      <c r="D41" s="15">
        <f>1.333*2.204622*40.4468</f>
        <v>118.86348351109682</v>
      </c>
      <c r="E41" s="12">
        <f t="shared" si="3"/>
        <v>7876.074483511097</v>
      </c>
      <c r="F41" s="19"/>
      <c r="G41" s="12">
        <f>1.333*493.205</f>
        <v>657.4422649999999</v>
      </c>
      <c r="H41" s="12">
        <f>1.3333*2.204622*(428.7709-0.25*(88.4582))</f>
        <v>1195.334830081745</v>
      </c>
      <c r="I41" s="12">
        <v>2734.836</v>
      </c>
      <c r="J41" s="20">
        <f t="shared" si="1"/>
        <v>517.7123884293528</v>
      </c>
      <c r="K41" s="15">
        <f t="shared" si="2"/>
        <v>5105.325483511097</v>
      </c>
      <c r="L41" s="19"/>
      <c r="M41" s="14">
        <v>30.1</v>
      </c>
      <c r="N41" s="14">
        <f>+I41*0.7519/316.204908</f>
        <v>6.50313494944234</v>
      </c>
    </row>
    <row r="42" spans="1:14" ht="11.25">
      <c r="A42" s="21" t="s">
        <v>59</v>
      </c>
      <c r="B42" s="12">
        <v>2770.749</v>
      </c>
      <c r="C42" s="11">
        <v>4173.17</v>
      </c>
      <c r="D42" s="15">
        <f>1.333*2.204622*29.8644</f>
        <v>87.7643377713144</v>
      </c>
      <c r="E42" s="12">
        <f t="shared" si="3"/>
        <v>7031.683337771315</v>
      </c>
      <c r="F42" s="19"/>
      <c r="G42" s="12">
        <f>1.333*497.272</f>
        <v>662.863576</v>
      </c>
      <c r="H42" s="12">
        <f>1.3333*2.204622*(389.1268-0.25*65.2604)</f>
        <v>1095.8511039406771</v>
      </c>
      <c r="I42" s="12">
        <v>2885.9</v>
      </c>
      <c r="J42" s="20">
        <f t="shared" si="1"/>
        <v>529.2916578306376</v>
      </c>
      <c r="K42" s="15">
        <f t="shared" si="2"/>
        <v>5173.906337771315</v>
      </c>
      <c r="L42" s="19"/>
      <c r="M42" s="14">
        <v>24.9</v>
      </c>
      <c r="N42" s="14">
        <f>+I42*0.7519/318.563456</f>
        <v>6.811541528479651</v>
      </c>
    </row>
    <row r="43" spans="1:14" ht="11.25">
      <c r="A43" s="21" t="s">
        <v>61</v>
      </c>
      <c r="B43" s="12">
        <v>1857.777</v>
      </c>
      <c r="C43" s="11">
        <v>5188.665</v>
      </c>
      <c r="D43" s="15">
        <f>1.333*2.204622*30.5055</f>
        <v>89.64837752919301</v>
      </c>
      <c r="E43" s="12">
        <f t="shared" si="3"/>
        <v>7136.090377529193</v>
      </c>
      <c r="F43" s="19"/>
      <c r="G43" s="31">
        <v>675</v>
      </c>
      <c r="H43" s="12">
        <f>1.3333*2.204622*(386.8707-0.25*76.6261)</f>
        <v>1080.867324197136</v>
      </c>
      <c r="I43" s="31">
        <v>2945.487</v>
      </c>
      <c r="J43" s="20">
        <f t="shared" si="1"/>
        <v>333.7190533320568</v>
      </c>
      <c r="K43" s="15">
        <f t="shared" si="2"/>
        <v>5035.073377529193</v>
      </c>
      <c r="L43" s="19"/>
      <c r="M43" s="30">
        <v>22</v>
      </c>
      <c r="N43" s="30">
        <f>+I43*0.7519/320.896618</f>
        <v>6.901636075516383</v>
      </c>
    </row>
    <row r="44" spans="1:14" ht="11.25">
      <c r="A44" s="21" t="s">
        <v>68</v>
      </c>
      <c r="B44" s="12">
        <v>2101.017</v>
      </c>
      <c r="C44" s="11">
        <v>6001.357</v>
      </c>
      <c r="D44" s="15">
        <v>94.43356227065881</v>
      </c>
      <c r="E44" s="12">
        <f t="shared" si="3"/>
        <v>8196.807562270658</v>
      </c>
      <c r="F44" s="19"/>
      <c r="G44" s="31">
        <v>708.8494099999999</v>
      </c>
      <c r="H44" s="12">
        <v>1544.420133279181</v>
      </c>
      <c r="I44" s="31">
        <v>3144</v>
      </c>
      <c r="J44" s="20">
        <f t="shared" si="1"/>
        <v>1008.6330189914779</v>
      </c>
      <c r="K44" s="15">
        <f t="shared" si="2"/>
        <v>6405.902562270659</v>
      </c>
      <c r="L44" s="19"/>
      <c r="M44" s="30">
        <v>19.3</v>
      </c>
      <c r="N44" s="30">
        <f>+I44*0.7519/323.345274</f>
        <v>7.310988562647123</v>
      </c>
    </row>
    <row r="45" spans="1:14" ht="11.25">
      <c r="A45" s="22" t="s">
        <v>69</v>
      </c>
      <c r="B45" s="29">
        <v>1790.905</v>
      </c>
      <c r="C45" s="24">
        <v>5684.61</v>
      </c>
      <c r="D45" s="29">
        <v>125</v>
      </c>
      <c r="E45" s="23">
        <f t="shared" si="3"/>
        <v>7600.514999999999</v>
      </c>
      <c r="F45" s="1"/>
      <c r="G45" s="29">
        <v>807</v>
      </c>
      <c r="H45" s="29">
        <v>1350</v>
      </c>
      <c r="I45" s="29">
        <v>3203</v>
      </c>
      <c r="J45" s="25">
        <f t="shared" si="1"/>
        <v>545.5149999999994</v>
      </c>
      <c r="K45" s="29">
        <f>E45-1695</f>
        <v>5905.514999999999</v>
      </c>
      <c r="L45" s="1"/>
      <c r="M45" s="28" t="s">
        <v>70</v>
      </c>
      <c r="N45" s="32">
        <f>+I45*0.7519/325.344115</f>
        <v>7.402425889892</v>
      </c>
    </row>
    <row r="46" ht="12.75" customHeight="1">
      <c r="A46" s="26" t="s">
        <v>60</v>
      </c>
    </row>
    <row r="47" ht="12.75" customHeight="1">
      <c r="A47" s="27" t="s">
        <v>71</v>
      </c>
    </row>
    <row r="48" ht="12.75" customHeight="1">
      <c r="A48" s="33" t="s">
        <v>72</v>
      </c>
    </row>
    <row r="49" spans="10:13" ht="12.75" customHeight="1">
      <c r="J49" s="36" t="s">
        <v>73</v>
      </c>
      <c r="K49" s="36"/>
      <c r="L49" s="36"/>
      <c r="M49" s="36"/>
    </row>
  </sheetData>
  <sheetProtection/>
  <mergeCells count="4">
    <mergeCell ref="B2:E2"/>
    <mergeCell ref="G2:K2"/>
    <mergeCell ref="B7:K7"/>
    <mergeCell ref="J49:M49"/>
  </mergeCells>
  <printOptions/>
  <pageMargins left="0.7" right="0.7" top="0.75" bottom="0.75" header="0.3" footer="0.3"/>
  <pageSetup firstPageNumber="39" useFirstPageNumber="1" fitToHeight="1" fitToWidth="1" horizontalDpi="600" verticalDpi="600" orientation="portrait" scale="93" r:id="rId1"/>
  <headerFooter alignWithMargins="0">
    <oddFooter>&amp;C&amp;P
Oil Crops Yearbook/OCS-2017
March 2017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Peanuts (farmers' stock basis): Supply, disappearance, and price, U.S., 1980/81-2016/17</dc:title>
  <dc:subject>Agricultural Economics</dc:subject>
  <dc:creator>Mark Ash</dc:creator>
  <cp:keywords>Peanuts, farmers' stock basis, Supply, disappearance, and price</cp:keywords>
  <dc:description/>
  <cp:lastModifiedBy>WIN31TONT40</cp:lastModifiedBy>
  <dcterms:created xsi:type="dcterms:W3CDTF">2015-03-23T15:00:57Z</dcterms:created>
  <dcterms:modified xsi:type="dcterms:W3CDTF">2017-03-16T15:12:56Z</dcterms:modified>
  <cp:category/>
  <cp:version/>
  <cp:contentType/>
  <cp:contentStatus/>
</cp:coreProperties>
</file>