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LOUSE\Documents\1 Existing EGU NSPS - 111d - Clean Power Plan\111d\2 DOCKETING TSD\"/>
    </mc:Choice>
  </mc:AlternateContent>
  <bookViews>
    <workbookView xWindow="0" yWindow="0" windowWidth="19200" windowHeight="10995" activeTab="1"/>
  </bookViews>
  <sheets>
    <sheet name="TSB Tables" sheetId="7" r:id="rId1"/>
    <sheet name="Comparison" sheetId="5" r:id="rId2"/>
    <sheet name="EIA" sheetId="2" r:id="rId3"/>
    <sheet name="ATB" sheetId="4" r:id="rId4"/>
  </sheets>
  <calcPr calcId="152511"/>
</workbook>
</file>

<file path=xl/calcChain.xml><?xml version="1.0" encoding="utf-8"?>
<calcChain xmlns="http://schemas.openxmlformats.org/spreadsheetml/2006/main">
  <c r="C5" i="5" l="1"/>
  <c r="C18" i="5" l="1"/>
  <c r="AD30" i="5" l="1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D29" i="5" l="1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8" i="5"/>
  <c r="C26" i="5"/>
  <c r="C24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C10" i="5"/>
  <c r="AD7" i="5"/>
  <c r="AD8" i="5" s="1"/>
  <c r="AC7" i="5"/>
  <c r="AC8" i="5" s="1"/>
  <c r="AB7" i="5"/>
  <c r="AB8" i="5" s="1"/>
  <c r="AA7" i="5"/>
  <c r="AA8" i="5" s="1"/>
  <c r="Z7" i="5"/>
  <c r="Z8" i="5" s="1"/>
  <c r="Y7" i="5"/>
  <c r="Y8" i="5" s="1"/>
  <c r="X7" i="5"/>
  <c r="X8" i="5" s="1"/>
  <c r="W7" i="5"/>
  <c r="W8" i="5" s="1"/>
  <c r="V7" i="5"/>
  <c r="V8" i="5" s="1"/>
  <c r="U7" i="5"/>
  <c r="U8" i="5" s="1"/>
  <c r="T7" i="5"/>
  <c r="T8" i="5" s="1"/>
  <c r="S7" i="5"/>
  <c r="S8" i="5" s="1"/>
  <c r="R7" i="5"/>
  <c r="R8" i="5" s="1"/>
  <c r="Q7" i="5"/>
  <c r="Q8" i="5" s="1"/>
  <c r="P7" i="5"/>
  <c r="P8" i="5" s="1"/>
  <c r="O7" i="5"/>
  <c r="O8" i="5" s="1"/>
  <c r="N7" i="5"/>
  <c r="N8" i="5" s="1"/>
  <c r="M7" i="5"/>
  <c r="M8" i="5" s="1"/>
  <c r="L7" i="5"/>
  <c r="L8" i="5" s="1"/>
  <c r="K7" i="5"/>
  <c r="K8" i="5" s="1"/>
  <c r="J7" i="5"/>
  <c r="J8" i="5" s="1"/>
  <c r="I7" i="5"/>
  <c r="I8" i="5" s="1"/>
  <c r="H7" i="5"/>
  <c r="H8" i="5" s="1"/>
  <c r="G7" i="5"/>
  <c r="G8" i="5" s="1"/>
  <c r="F7" i="5"/>
  <c r="F8" i="5" s="1"/>
  <c r="E7" i="5"/>
  <c r="E8" i="5" s="1"/>
  <c r="D7" i="5"/>
  <c r="D8" i="5" s="1"/>
  <c r="C7" i="5"/>
  <c r="C8" i="5" s="1"/>
  <c r="AD19" i="2"/>
  <c r="AD11" i="5" s="1"/>
  <c r="AC19" i="2"/>
  <c r="AC11" i="5" s="1"/>
  <c r="AB19" i="2"/>
  <c r="AB11" i="5" s="1"/>
  <c r="AA19" i="2"/>
  <c r="AA11" i="5" s="1"/>
  <c r="Z19" i="2"/>
  <c r="Z11" i="5" s="1"/>
  <c r="Y19" i="2"/>
  <c r="Y11" i="5" s="1"/>
  <c r="X19" i="2"/>
  <c r="X11" i="5" s="1"/>
  <c r="W19" i="2"/>
  <c r="W11" i="5" s="1"/>
  <c r="V19" i="2"/>
  <c r="V11" i="5" s="1"/>
  <c r="U19" i="2"/>
  <c r="U11" i="5" s="1"/>
  <c r="T19" i="2"/>
  <c r="T11" i="5" s="1"/>
  <c r="S19" i="2"/>
  <c r="S11" i="5" s="1"/>
  <c r="R19" i="2"/>
  <c r="R11" i="5" s="1"/>
  <c r="Q19" i="2"/>
  <c r="Q11" i="5" s="1"/>
  <c r="P19" i="2"/>
  <c r="P11" i="5" s="1"/>
  <c r="O19" i="2"/>
  <c r="O11" i="5" s="1"/>
  <c r="N19" i="2"/>
  <c r="N11" i="5" s="1"/>
  <c r="M19" i="2"/>
  <c r="M11" i="5" s="1"/>
  <c r="L19" i="2"/>
  <c r="L11" i="5" s="1"/>
  <c r="K19" i="2"/>
  <c r="K11" i="5" s="1"/>
  <c r="J19" i="2"/>
  <c r="J11" i="5" s="1"/>
  <c r="I19" i="2"/>
  <c r="I11" i="5" s="1"/>
  <c r="H19" i="2"/>
  <c r="H11" i="5" s="1"/>
  <c r="G19" i="2"/>
  <c r="G11" i="5" s="1"/>
  <c r="F19" i="2"/>
  <c r="F11" i="5" s="1"/>
  <c r="E19" i="2"/>
  <c r="E11" i="5" s="1"/>
  <c r="D19" i="2"/>
  <c r="D11" i="5" s="1"/>
  <c r="C19" i="2"/>
  <c r="C11" i="5" s="1"/>
  <c r="AD18" i="2"/>
  <c r="AD9" i="5" s="1"/>
  <c r="AC18" i="2"/>
  <c r="AC9" i="5" s="1"/>
  <c r="AB18" i="2"/>
  <c r="AB9" i="5" s="1"/>
  <c r="AA18" i="2"/>
  <c r="AA9" i="5" s="1"/>
  <c r="Z18" i="2"/>
  <c r="Z9" i="5" s="1"/>
  <c r="Y18" i="2"/>
  <c r="Y9" i="5" s="1"/>
  <c r="X18" i="2"/>
  <c r="X9" i="5" s="1"/>
  <c r="W18" i="2"/>
  <c r="W9" i="5" s="1"/>
  <c r="V18" i="2"/>
  <c r="V9" i="5" s="1"/>
  <c r="U18" i="2"/>
  <c r="U9" i="5" s="1"/>
  <c r="T18" i="2"/>
  <c r="T9" i="5" s="1"/>
  <c r="S18" i="2"/>
  <c r="S9" i="5" s="1"/>
  <c r="R18" i="2"/>
  <c r="R9" i="5" s="1"/>
  <c r="Q18" i="2"/>
  <c r="Q9" i="5" s="1"/>
  <c r="P18" i="2"/>
  <c r="P9" i="5" s="1"/>
  <c r="O18" i="2"/>
  <c r="O9" i="5" s="1"/>
  <c r="N18" i="2"/>
  <c r="N9" i="5" s="1"/>
  <c r="M18" i="2"/>
  <c r="M9" i="5" s="1"/>
  <c r="L18" i="2"/>
  <c r="L9" i="5" s="1"/>
  <c r="K18" i="2"/>
  <c r="K9" i="5" s="1"/>
  <c r="J18" i="2"/>
  <c r="J9" i="5" s="1"/>
  <c r="I18" i="2"/>
  <c r="I9" i="5" s="1"/>
  <c r="H18" i="2"/>
  <c r="H9" i="5" s="1"/>
  <c r="G18" i="2"/>
  <c r="G9" i="5" s="1"/>
  <c r="F18" i="2"/>
  <c r="F9" i="5" s="1"/>
  <c r="E18" i="2"/>
  <c r="E9" i="5" s="1"/>
  <c r="F5" i="7" s="1"/>
  <c r="D18" i="2"/>
  <c r="D9" i="5" s="1"/>
  <c r="E5" i="7" s="1"/>
  <c r="C18" i="2"/>
  <c r="C9" i="5" s="1"/>
  <c r="D5" i="7" s="1"/>
  <c r="AD17" i="2"/>
  <c r="AD5" i="5" s="1"/>
  <c r="AD6" i="5" s="1"/>
  <c r="AC17" i="2"/>
  <c r="AC5" i="5" s="1"/>
  <c r="AC6" i="5" s="1"/>
  <c r="AB17" i="2"/>
  <c r="AB5" i="5" s="1"/>
  <c r="AB6" i="5" s="1"/>
  <c r="AA17" i="2"/>
  <c r="AA5" i="5" s="1"/>
  <c r="AA6" i="5" s="1"/>
  <c r="Z17" i="2"/>
  <c r="Z5" i="5" s="1"/>
  <c r="Z6" i="5" s="1"/>
  <c r="Y17" i="2"/>
  <c r="Y5" i="5" s="1"/>
  <c r="Y6" i="5" s="1"/>
  <c r="X17" i="2"/>
  <c r="X5" i="5" s="1"/>
  <c r="X6" i="5" s="1"/>
  <c r="W17" i="2"/>
  <c r="W5" i="5" s="1"/>
  <c r="W6" i="5" s="1"/>
  <c r="V17" i="2"/>
  <c r="V5" i="5" s="1"/>
  <c r="V6" i="5" s="1"/>
  <c r="U17" i="2"/>
  <c r="U5" i="5" s="1"/>
  <c r="U6" i="5" s="1"/>
  <c r="T17" i="2"/>
  <c r="T5" i="5" s="1"/>
  <c r="T6" i="5" s="1"/>
  <c r="S17" i="2"/>
  <c r="S5" i="5" s="1"/>
  <c r="S6" i="5" s="1"/>
  <c r="R17" i="2"/>
  <c r="R5" i="5" s="1"/>
  <c r="R6" i="5" s="1"/>
  <c r="Q17" i="2"/>
  <c r="Q5" i="5" s="1"/>
  <c r="Q6" i="5" s="1"/>
  <c r="P17" i="2"/>
  <c r="P5" i="5" s="1"/>
  <c r="P6" i="5" s="1"/>
  <c r="O17" i="2"/>
  <c r="O5" i="5" s="1"/>
  <c r="O6" i="5" s="1"/>
  <c r="N17" i="2"/>
  <c r="N5" i="5" s="1"/>
  <c r="N6" i="5" s="1"/>
  <c r="M17" i="2"/>
  <c r="M5" i="5" s="1"/>
  <c r="M6" i="5" s="1"/>
  <c r="L17" i="2"/>
  <c r="L5" i="5" s="1"/>
  <c r="L6" i="5" s="1"/>
  <c r="K17" i="2"/>
  <c r="K5" i="5" s="1"/>
  <c r="K6" i="5" s="1"/>
  <c r="J17" i="2"/>
  <c r="J5" i="5" s="1"/>
  <c r="J6" i="5" s="1"/>
  <c r="I17" i="2"/>
  <c r="I5" i="5" s="1"/>
  <c r="I6" i="5" s="1"/>
  <c r="H17" i="2"/>
  <c r="H5" i="5" s="1"/>
  <c r="H6" i="5" s="1"/>
  <c r="G17" i="2"/>
  <c r="G5" i="5" s="1"/>
  <c r="G6" i="5" s="1"/>
  <c r="F17" i="2"/>
  <c r="F5" i="5" s="1"/>
  <c r="F6" i="5" s="1"/>
  <c r="E17" i="2"/>
  <c r="E5" i="5" s="1"/>
  <c r="E6" i="5" s="1"/>
  <c r="D17" i="2"/>
  <c r="D5" i="5" s="1"/>
  <c r="D6" i="5" s="1"/>
  <c r="C17" i="2"/>
  <c r="C6" i="5" s="1"/>
</calcChain>
</file>

<file path=xl/comments1.xml><?xml version="1.0" encoding="utf-8"?>
<comments xmlns="http://schemas.openxmlformats.org/spreadsheetml/2006/main">
  <authors>
    <author>Ankit Saraf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Ankit Saraf:</t>
        </r>
        <r>
          <rPr>
            <sz val="9"/>
            <color indexed="81"/>
            <rFont val="Tahoma"/>
            <family val="2"/>
          </rPr>
          <t xml:space="preserve">
Assuming a 17% conversion factor.</t>
        </r>
      </text>
    </comment>
  </commentList>
</comments>
</file>

<file path=xl/sharedStrings.xml><?xml version="1.0" encoding="utf-8"?>
<sst xmlns="http://schemas.openxmlformats.org/spreadsheetml/2006/main" count="214" uniqueCount="98">
  <si>
    <t>Technology</t>
  </si>
  <si>
    <t>Onshore Wind</t>
  </si>
  <si>
    <t>Offshore Wind</t>
  </si>
  <si>
    <t>Utility Solar PV</t>
  </si>
  <si>
    <t>TRG 1</t>
  </si>
  <si>
    <t>TRG 2</t>
  </si>
  <si>
    <t>TRG 3</t>
  </si>
  <si>
    <t>TRG 4</t>
  </si>
  <si>
    <t>TRG 5</t>
  </si>
  <si>
    <t>Capacity Factors</t>
  </si>
  <si>
    <t>S-TRG 1</t>
  </si>
  <si>
    <t>S-TRG 2</t>
  </si>
  <si>
    <t>S-TRG 3</t>
  </si>
  <si>
    <t>S-TRG 4</t>
  </si>
  <si>
    <t>M-TRG 1</t>
  </si>
  <si>
    <t>M-TRG 2</t>
  </si>
  <si>
    <t>M-TRG 3</t>
  </si>
  <si>
    <t>D-TRG 1</t>
  </si>
  <si>
    <t>D-TRG 2</t>
  </si>
  <si>
    <t>D-TRG 3</t>
  </si>
  <si>
    <t>Table 4</t>
  </si>
  <si>
    <t>Table 3</t>
  </si>
  <si>
    <t>2015 Standard Scenarios Annual Report: U.S. Electric Sector Scenario Exploration and ReEDS Model Description</t>
  </si>
  <si>
    <t>http://www.nrel.gov/analysis/pdfs/2015-04-14_Standard_Scenarios_Annual_Report.pdf</t>
  </si>
  <si>
    <t>Does not improve over time. Developed using NREL SAM model for 939 sites in the contiguous U.S.</t>
  </si>
  <si>
    <t>A separate ATB spreadsheet shows representative capacity factor ranges as 14%-28%.</t>
  </si>
  <si>
    <t>Distributed solar PV</t>
  </si>
  <si>
    <t>Not discussed</t>
  </si>
  <si>
    <t>Costs (2013$/kW)</t>
  </si>
  <si>
    <t>Capital Cost (2013$/kWDC)</t>
  </si>
  <si>
    <t>Capex Prices (2013$/kW)</t>
  </si>
  <si>
    <t>Data Source:</t>
  </si>
  <si>
    <t>Data source:</t>
  </si>
  <si>
    <t>Capacity Factors for Solar PV</t>
  </si>
  <si>
    <t>Assumptions on disributed solar PV ot shown or discussed.</t>
  </si>
  <si>
    <t>Report</t>
  </si>
  <si>
    <t>AEO 2013</t>
  </si>
  <si>
    <t>NREL ATB</t>
  </si>
  <si>
    <t>NREL ATB (For TRG 3)</t>
  </si>
  <si>
    <t>NREL ATB (for M-TRG 2)</t>
  </si>
  <si>
    <t>Onshore Wind (Simple average across all EIA regions)</t>
  </si>
  <si>
    <t>Offshore Wind (Simple average across all EIA regions)</t>
  </si>
  <si>
    <t>Note</t>
  </si>
  <si>
    <t>A more accurate representation of national capacity factors would be weighted by resource potential in each region.</t>
  </si>
  <si>
    <t>Onshore wind capacity factors, on average, increase by 0.07% each year--the trend is not constant across each year.</t>
  </si>
  <si>
    <t>EIA capacity factors are simple averages across all regions</t>
  </si>
  <si>
    <t>14%-28%</t>
  </si>
  <si>
    <t>EIA capacity factor ranges across all regions for utility solar PV is 22%-32%, for onshore wind is 29%-41%, and for offshore wind is 33%-42%</t>
  </si>
  <si>
    <t>Excel spreadsheet obtained by personal communication with EIA</t>
  </si>
  <si>
    <t>Also refer to Table 8.2 (http://www.eia.gov/forecasts/aeo/assumptions/pdf/0554(2013).pdf)</t>
  </si>
  <si>
    <t>Table 5</t>
  </si>
  <si>
    <t>Capital Costs (2013$/kW)</t>
  </si>
  <si>
    <t>NREL ATB ($/kW-AC)</t>
  </si>
  <si>
    <t>NREL ATB ($/kW-DC)</t>
  </si>
  <si>
    <t>2011$ to 2013$ Inflation</t>
  </si>
  <si>
    <t>Capex Prices (2011$/kW)</t>
  </si>
  <si>
    <t>All costs in $/kW-AC, EXCEPT where noted.</t>
  </si>
  <si>
    <t>AEO 2013 ($/kW-DC)</t>
  </si>
  <si>
    <t>AEO 2013 ($/kW-AC)</t>
  </si>
  <si>
    <t>DC-to-AC derate</t>
  </si>
  <si>
    <t>Source:</t>
  </si>
  <si>
    <t>Table 8</t>
  </si>
  <si>
    <t>Concentrating Solar Power with Storage</t>
  </si>
  <si>
    <t>Concentrating Solar Power without Storage</t>
  </si>
  <si>
    <t>The ATB document does not explicitly say that the costs in Table 8 are in 2013$, but that is being assumed since costs for other technologies are reported in 2013$.</t>
  </si>
  <si>
    <t>The ATB document also incorrectly specifies that the costs for CSP are in $/kW-DC. Commercial CSP technologies produce AC current only.</t>
  </si>
  <si>
    <t>Concentrated Solar Power</t>
  </si>
  <si>
    <t>NREL ATB (for M-TRG 2) without Storage</t>
  </si>
  <si>
    <t>AEO 2013 (does not assume storage)</t>
  </si>
  <si>
    <t>In the case of solar thermal, NREL ATB assumes a parabolic trough plant for the initial years, and then a solar tower starting in 2025. EIA assumes a central-receiver tower consistently.</t>
  </si>
  <si>
    <t>Does not improve over time. Developed using NREL SAM model.</t>
  </si>
  <si>
    <t>Capacity Factors for Solar Thermal</t>
  </si>
  <si>
    <t>There are no improvements in capacity factors for offshore wind, solar thermal, and utility solar PV.</t>
  </si>
  <si>
    <t>ATB separately mentions capacity factors for solar thermal without storage ranges as 20% to 31%, and that for solar thermal with storage as 31.5% to44.8%.</t>
  </si>
  <si>
    <t>20%-31%</t>
  </si>
  <si>
    <t>Capital Cost ($/kW)</t>
  </si>
  <si>
    <t>The ATB document does not explicitly say that the costs in Table 8 are in 2013$, but it is assumed here, since costs for other technologies in the report are also in 2013$.</t>
  </si>
  <si>
    <t>Personal communication with EIA</t>
  </si>
  <si>
    <t>2013</t>
  </si>
  <si>
    <t>2014</t>
  </si>
  <si>
    <t>2015</t>
  </si>
  <si>
    <t>2020</t>
  </si>
  <si>
    <t>2025</t>
  </si>
  <si>
    <t>2030</t>
  </si>
  <si>
    <t>Notes</t>
  </si>
  <si>
    <t>1. The AEO2013 costs are in 2011$, whereas in ATB they are in 2013$. For the comparison, 
the AEO2013 costs were inflated using a net inflation of 3.28% to make them directly comparable.</t>
  </si>
  <si>
    <t>AEO 2013 ($/kWDC)</t>
  </si>
  <si>
    <t>LBNL</t>
  </si>
  <si>
    <t>ATB - TRG 3 Mid</t>
  </si>
  <si>
    <t>$1,400-$1,800</t>
  </si>
  <si>
    <t>Lazard (2014$)</t>
  </si>
  <si>
    <t>SEIA/GTM ($/kWDC)</t>
  </si>
  <si>
    <t>$1,500-$1,750</t>
  </si>
  <si>
    <t>LBNL ($/kWDC)</t>
  </si>
  <si>
    <t>ATB - Mid ($/kWDC)</t>
  </si>
  <si>
    <t xml:space="preserve">2. The costs for solar PV in AEO are in $/kW-AC, whereas in ATB they are in $/kW-DC. For the comparison, AEO costs were expressed in $/kW-DC, using EIA's assumed 1.25:1 ratio, which was presented as a rounded value in EIA's Updated Capital Cost Estimates for Utility Scale Electricity Generating Plants (See p. 24-2), according to email communications with EIA staff. </t>
  </si>
  <si>
    <r>
      <t xml:space="preserve">3. While all sources are reported as ‘2013’, there is a difference what each source defines as ‘year’. For example, the LBNL report and the ATB represent the projects </t>
    </r>
    <r>
      <rPr>
        <i/>
        <sz val="10"/>
        <color theme="1"/>
        <rFont val="Times New Roman"/>
        <family val="1"/>
      </rPr>
      <t>completed installation</t>
    </r>
    <r>
      <rPr>
        <sz val="10"/>
        <color theme="1"/>
        <rFont val="Times New Roman"/>
        <family val="1"/>
      </rPr>
      <t xml:space="preserve"> in 2013 while the AEO numbers are for projects that were </t>
    </r>
    <r>
      <rPr>
        <i/>
        <sz val="10"/>
        <color theme="1"/>
        <rFont val="Times New Roman"/>
        <family val="1"/>
      </rPr>
      <t>initiated</t>
    </r>
    <r>
      <rPr>
        <sz val="10"/>
        <color theme="1"/>
        <rFont val="Times New Roman"/>
        <family val="1"/>
      </rPr>
      <t xml:space="preserve"> in 2013.</t>
    </r>
  </si>
  <si>
    <r>
      <t xml:space="preserve">2. While all sources are reported as ‘2013’, there is a difference what each source defines as ‘year’. For example, the LBNL report and the ATB represent the projects </t>
    </r>
    <r>
      <rPr>
        <i/>
        <sz val="10"/>
        <color theme="1"/>
        <rFont val="Times New Roman"/>
        <family val="1"/>
      </rPr>
      <t>completed installation</t>
    </r>
    <r>
      <rPr>
        <sz val="10"/>
        <color theme="1"/>
        <rFont val="Times New Roman"/>
        <family val="1"/>
      </rPr>
      <t xml:space="preserve"> in 2013 while the AEO numbers are for projects that were </t>
    </r>
    <r>
      <rPr>
        <i/>
        <sz val="10"/>
        <color theme="1"/>
        <rFont val="Times New Roman"/>
        <family val="1"/>
      </rPr>
      <t>initiated</t>
    </r>
    <r>
      <rPr>
        <sz val="10"/>
        <color theme="1"/>
        <rFont val="Times New Roman"/>
        <family val="1"/>
      </rPr>
      <t xml:space="preserve"> in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</si>
</sst>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6" fillId="0" borderId="9" applyNumberFormat="0" applyFont="0" applyProtection="0">
      <alignment wrapText="1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Protection="0">
      <alignment vertical="top" wrapText="1"/>
    </xf>
    <xf numFmtId="0" fontId="6" fillId="0" borderId="10" applyNumberFormat="0" applyProtection="0">
      <alignment vertical="top" wrapText="1"/>
    </xf>
    <xf numFmtId="0" fontId="8" fillId="0" borderId="8" applyNumberFormat="0" applyProtection="0">
      <alignment wrapText="1"/>
    </xf>
    <xf numFmtId="0" fontId="8" fillId="0" borderId="11" applyNumberFormat="0" applyProtection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12" applyNumberFormat="0" applyProtection="0">
      <alignment wrapText="1"/>
    </xf>
    <xf numFmtId="0" fontId="6" fillId="0" borderId="13" applyNumberFormat="0" applyFont="0" applyFill="0" applyProtection="0">
      <alignment wrapText="1"/>
    </xf>
    <xf numFmtId="0" fontId="8" fillId="0" borderId="14" applyNumberFormat="0" applyFill="0" applyProtection="0">
      <alignment wrapText="1"/>
    </xf>
    <xf numFmtId="0" fontId="10" fillId="0" borderId="0" applyNumberFormat="0" applyProtection="0">
      <alignment horizontal="left"/>
    </xf>
    <xf numFmtId="43" fontId="4" fillId="0" borderId="0" applyFont="0" applyFill="0" applyBorder="0" applyAlignment="0" applyProtection="0"/>
  </cellStyleXfs>
  <cellXfs count="122">
    <xf numFmtId="0" fontId="0" fillId="0" borderId="0" xfId="0"/>
    <xf numFmtId="1" fontId="3" fillId="0" borderId="0" xfId="1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0" xfId="3"/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1" xfId="4" applyNumberFormat="1" applyFont="1" applyBorder="1"/>
    <xf numFmtId="0" fontId="13" fillId="0" borderId="0" xfId="0" applyFont="1"/>
    <xf numFmtId="0" fontId="14" fillId="0" borderId="0" xfId="0" applyFont="1"/>
    <xf numFmtId="0" fontId="0" fillId="0" borderId="3" xfId="0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4" fillId="0" borderId="20" xfId="4" applyNumberFormat="1" applyFont="1" applyBorder="1" applyAlignment="1">
      <alignment horizontal="center"/>
    </xf>
    <xf numFmtId="164" fontId="4" fillId="0" borderId="21" xfId="4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164" fontId="4" fillId="0" borderId="23" xfId="4" applyNumberFormat="1" applyFont="1" applyBorder="1" applyAlignment="1">
      <alignment horizontal="center"/>
    </xf>
    <xf numFmtId="164" fontId="4" fillId="0" borderId="24" xfId="4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4" fillId="0" borderId="28" xfId="4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9" fontId="4" fillId="0" borderId="20" xfId="2" applyNumberFormat="1" applyFont="1" applyBorder="1" applyAlignment="1">
      <alignment horizontal="center"/>
    </xf>
    <xf numFmtId="9" fontId="4" fillId="0" borderId="20" xfId="4" applyNumberFormat="1" applyFont="1" applyBorder="1" applyAlignment="1">
      <alignment horizontal="center"/>
    </xf>
    <xf numFmtId="9" fontId="4" fillId="0" borderId="21" xfId="4" applyNumberFormat="1" applyFont="1" applyBorder="1" applyAlignment="1">
      <alignment horizontal="center"/>
    </xf>
    <xf numFmtId="9" fontId="4" fillId="0" borderId="3" xfId="4" applyNumberFormat="1" applyFont="1" applyBorder="1" applyAlignment="1">
      <alignment horizontal="center"/>
    </xf>
    <xf numFmtId="9" fontId="4" fillId="0" borderId="28" xfId="4" applyNumberFormat="1" applyFont="1" applyBorder="1" applyAlignment="1">
      <alignment horizontal="center"/>
    </xf>
    <xf numFmtId="9" fontId="4" fillId="0" borderId="23" xfId="2" applyFont="1" applyBorder="1" applyAlignment="1">
      <alignment horizontal="center"/>
    </xf>
    <xf numFmtId="9" fontId="4" fillId="0" borderId="24" xfId="2" applyFont="1" applyBorder="1" applyAlignment="1">
      <alignment horizontal="center"/>
    </xf>
    <xf numFmtId="9" fontId="0" fillId="0" borderId="1" xfId="2" applyFont="1" applyBorder="1"/>
    <xf numFmtId="9" fontId="4" fillId="0" borderId="23" xfId="4" applyNumberFormat="1" applyFont="1" applyBorder="1" applyAlignment="1">
      <alignment horizontal="center"/>
    </xf>
    <xf numFmtId="9" fontId="4" fillId="0" borderId="24" xfId="4" applyNumberFormat="1" applyFont="1" applyBorder="1" applyAlignment="1">
      <alignment horizontal="center"/>
    </xf>
    <xf numFmtId="164" fontId="0" fillId="0" borderId="23" xfId="4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4" fillId="0" borderId="0" xfId="4" applyNumberFormat="1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164" fontId="4" fillId="0" borderId="31" xfId="4" applyNumberFormat="1" applyFont="1" applyBorder="1" applyAlignment="1">
      <alignment horizontal="center"/>
    </xf>
    <xf numFmtId="43" fontId="4" fillId="2" borderId="0" xfId="18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ill="1"/>
    <xf numFmtId="164" fontId="4" fillId="2" borderId="3" xfId="4" applyNumberFormat="1" applyFont="1" applyFill="1" applyBorder="1" applyAlignment="1">
      <alignment horizontal="center"/>
    </xf>
    <xf numFmtId="164" fontId="4" fillId="2" borderId="28" xfId="4" applyNumberFormat="1" applyFont="1" applyFill="1" applyBorder="1" applyAlignment="1">
      <alignment horizontal="center"/>
    </xf>
    <xf numFmtId="164" fontId="0" fillId="2" borderId="0" xfId="4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164" fontId="0" fillId="2" borderId="23" xfId="4" applyNumberFormat="1" applyFont="1" applyFill="1" applyBorder="1"/>
    <xf numFmtId="164" fontId="0" fillId="2" borderId="24" xfId="4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0" fontId="0" fillId="0" borderId="0" xfId="2" applyNumberFormat="1" applyFont="1" applyBorder="1" applyAlignment="1">
      <alignment horizontal="center"/>
    </xf>
    <xf numFmtId="9" fontId="0" fillId="0" borderId="23" xfId="2" applyFont="1" applyBorder="1" applyAlignment="1">
      <alignment horizontal="center"/>
    </xf>
    <xf numFmtId="164" fontId="0" fillId="0" borderId="0" xfId="4" applyNumberFormat="1" applyFont="1" applyBorder="1" applyAlignment="1">
      <alignment horizontal="center"/>
    </xf>
    <xf numFmtId="0" fontId="17" fillId="0" borderId="47" xfId="0" applyFont="1" applyBorder="1"/>
    <xf numFmtId="0" fontId="17" fillId="0" borderId="40" xfId="0" applyFont="1" applyBorder="1" applyAlignment="1">
      <alignment horizontal="right" vertical="top"/>
    </xf>
    <xf numFmtId="0" fontId="18" fillId="0" borderId="39" xfId="0" applyFont="1" applyBorder="1"/>
    <xf numFmtId="0" fontId="18" fillId="0" borderId="40" xfId="0" applyFont="1" applyBorder="1"/>
    <xf numFmtId="166" fontId="19" fillId="0" borderId="40" xfId="0" applyNumberFormat="1" applyFont="1" applyFill="1" applyBorder="1" applyAlignment="1">
      <alignment vertical="center"/>
    </xf>
    <xf numFmtId="0" fontId="18" fillId="0" borderId="41" xfId="0" applyFont="1" applyBorder="1"/>
    <xf numFmtId="0" fontId="18" fillId="0" borderId="0" xfId="0" applyFont="1"/>
    <xf numFmtId="0" fontId="18" fillId="0" borderId="46" xfId="0" applyFont="1" applyBorder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/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66" fontId="19" fillId="3" borderId="0" xfId="0" applyNumberFormat="1" applyFont="1" applyFill="1" applyBorder="1" applyAlignment="1">
      <alignment vertical="center"/>
    </xf>
    <xf numFmtId="0" fontId="18" fillId="0" borderId="45" xfId="0" applyFont="1" applyBorder="1"/>
    <xf numFmtId="0" fontId="21" fillId="0" borderId="38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166" fontId="19" fillId="0" borderId="36" xfId="0" applyNumberFormat="1" applyFont="1" applyBorder="1" applyAlignment="1">
      <alignment vertical="center"/>
    </xf>
    <xf numFmtId="0" fontId="18" fillId="0" borderId="43" xfId="0" applyFont="1" applyBorder="1"/>
    <xf numFmtId="0" fontId="18" fillId="0" borderId="44" xfId="0" applyFont="1" applyBorder="1"/>
    <xf numFmtId="0" fontId="19" fillId="4" borderId="0" xfId="0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horizontal="right" vertical="center"/>
    </xf>
    <xf numFmtId="0" fontId="19" fillId="4" borderId="50" xfId="0" applyFont="1" applyFill="1" applyBorder="1" applyAlignment="1">
      <alignment vertical="center"/>
    </xf>
    <xf numFmtId="166" fontId="19" fillId="4" borderId="50" xfId="0" applyNumberFormat="1" applyFont="1" applyFill="1" applyBorder="1" applyAlignment="1">
      <alignment vertical="center"/>
    </xf>
    <xf numFmtId="0" fontId="17" fillId="0" borderId="47" xfId="0" applyFont="1" applyBorder="1" applyAlignment="1">
      <alignment vertical="top" wrapText="1"/>
    </xf>
    <xf numFmtId="0" fontId="19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9">
    <cellStyle name="Body: normal cell" xfId="6"/>
    <cellStyle name="Comma" xfId="18" builtinId="3"/>
    <cellStyle name="Currency" xfId="4" builtinId="4"/>
    <cellStyle name="Followed Hyperlink 2" xfId="7"/>
    <cellStyle name="Font: Calibri, 9pt regular" xfId="8"/>
    <cellStyle name="Footnotes: all except top row" xfId="9"/>
    <cellStyle name="Footnotes: top row" xfId="10"/>
    <cellStyle name="Header: bottom row" xfId="11"/>
    <cellStyle name="Header: top rows" xfId="12"/>
    <cellStyle name="Hyperlink" xfId="3" builtinId="8"/>
    <cellStyle name="Hyperlink 2" xfId="13"/>
    <cellStyle name="Normal" xfId="0" builtinId="0"/>
    <cellStyle name="Normal 2" xfId="1"/>
    <cellStyle name="Normal 3" xfId="5"/>
    <cellStyle name="Parent row" xfId="14"/>
    <cellStyle name="Percent" xfId="2" builtinId="5"/>
    <cellStyle name="Section Break" xfId="15"/>
    <cellStyle name="Section Break: parent row" xfId="16"/>
    <cellStyle name="Table title" xfId="17"/>
  </cellStyles>
  <dxfs count="20"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&quot;$&quot;#,##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&quot;$&quot;#,##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&quot;$&quot;#,##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2" defaultTableStyle="TableStyleMedium2" defaultPivotStyle="PivotStyleLight16">
    <tableStyle name="Table Style 1" pivot="0" count="2">
      <tableStyleElement type="wholeTable" dxfId="19"/>
      <tableStyleElement type="headerRow" dxfId="18"/>
    </tableStyle>
    <tableStyle name="TableStyleLight1 2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Table2" displayName="Table2" ref="B4:I8" totalsRowShown="0" headerRowDxfId="10" dataDxfId="8" headerRowBorderDxfId="9">
  <tableColumns count="8">
    <tableColumn id="1" name="Technology" dataDxfId="7"/>
    <tableColumn id="2" name="Report" dataDxfId="6"/>
    <tableColumn id="3" name="2013" dataDxfId="5"/>
    <tableColumn id="4" name="2014" dataDxfId="4"/>
    <tableColumn id="5" name="2015" dataDxfId="3"/>
    <tableColumn id="6" name="2020" dataDxfId="2"/>
    <tableColumn id="7" name="2025" dataDxfId="1"/>
    <tableColumn id="8" name="203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rel.gov/analysis/pdfs/2015-04-14_Standard_Scenarios_Annual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selection activeCell="M26" sqref="L26:M26"/>
    </sheetView>
  </sheetViews>
  <sheetFormatPr defaultRowHeight="15" x14ac:dyDescent="0.25"/>
  <cols>
    <col min="1" max="1" width="9.140625" style="67"/>
    <col min="2" max="2" width="15.140625" style="67" customWidth="1"/>
    <col min="3" max="3" width="27.28515625" style="67" customWidth="1"/>
    <col min="4" max="9" width="8.140625" style="67" customWidth="1"/>
    <col min="10" max="16384" width="9.140625" style="67"/>
  </cols>
  <sheetData>
    <row r="1" spans="1:10" x14ac:dyDescent="0.25">
      <c r="A1" s="63"/>
      <c r="B1" s="64"/>
      <c r="C1" s="64"/>
      <c r="D1" s="65"/>
      <c r="E1" s="65"/>
      <c r="F1" s="65"/>
      <c r="G1" s="65"/>
      <c r="H1" s="65"/>
      <c r="I1" s="65"/>
      <c r="J1" s="66"/>
    </row>
    <row r="2" spans="1:10" x14ac:dyDescent="0.25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0" ht="15" customHeight="1" x14ac:dyDescent="0.25">
      <c r="A3" s="68"/>
      <c r="B3" s="92"/>
      <c r="C3" s="92"/>
      <c r="D3" s="93" t="s">
        <v>51</v>
      </c>
      <c r="E3" s="93"/>
      <c r="F3" s="93"/>
      <c r="G3" s="93"/>
      <c r="H3" s="93"/>
      <c r="I3" s="93"/>
      <c r="J3" s="68"/>
    </row>
    <row r="4" spans="1:10" ht="15" customHeight="1" x14ac:dyDescent="0.25">
      <c r="A4" s="71"/>
      <c r="B4" s="72" t="s">
        <v>0</v>
      </c>
      <c r="C4" s="72" t="s">
        <v>35</v>
      </c>
      <c r="D4" s="73" t="s">
        <v>78</v>
      </c>
      <c r="E4" s="73" t="s">
        <v>79</v>
      </c>
      <c r="F4" s="73" t="s">
        <v>80</v>
      </c>
      <c r="G4" s="73" t="s">
        <v>81</v>
      </c>
      <c r="H4" s="73" t="s">
        <v>82</v>
      </c>
      <c r="I4" s="73" t="s">
        <v>83</v>
      </c>
      <c r="J4" s="71"/>
    </row>
    <row r="5" spans="1:10" ht="15" customHeight="1" x14ac:dyDescent="0.25">
      <c r="A5" s="71"/>
      <c r="B5" s="74" t="s">
        <v>1</v>
      </c>
      <c r="C5" s="74" t="s">
        <v>36</v>
      </c>
      <c r="D5" s="75">
        <f>+Comparison!C9</f>
        <v>2246.0506376353919</v>
      </c>
      <c r="E5" s="75">
        <f>+Comparison!D9</f>
        <v>2274.2705767394159</v>
      </c>
      <c r="F5" s="75">
        <f>+Comparison!E9</f>
        <v>2329.6564574856798</v>
      </c>
      <c r="G5" s="75">
        <v>2293.1339347197736</v>
      </c>
      <c r="H5" s="75">
        <v>2192.4679814623</v>
      </c>
      <c r="I5" s="75">
        <v>2105.6255092485826</v>
      </c>
      <c r="J5" s="71"/>
    </row>
    <row r="6" spans="1:10" ht="15" customHeight="1" x14ac:dyDescent="0.25">
      <c r="A6" s="71"/>
      <c r="B6" s="74"/>
      <c r="C6" s="76" t="s">
        <v>88</v>
      </c>
      <c r="D6" s="75">
        <v>1758.4246185702707</v>
      </c>
      <c r="E6" s="75">
        <v>1728.6805695612381</v>
      </c>
      <c r="F6" s="75">
        <v>1720.8260890714032</v>
      </c>
      <c r="G6" s="75">
        <v>1673.5042852139438</v>
      </c>
      <c r="H6" s="75">
        <v>1642.6287342976877</v>
      </c>
      <c r="I6" s="75">
        <v>1630.1125811987142</v>
      </c>
      <c r="J6" s="71"/>
    </row>
    <row r="7" spans="1:10" ht="15" customHeight="1" x14ac:dyDescent="0.25">
      <c r="A7" s="71"/>
      <c r="B7" s="74" t="s">
        <v>3</v>
      </c>
      <c r="C7" s="74" t="s">
        <v>57</v>
      </c>
      <c r="D7" s="77">
        <v>3143.7873752457313</v>
      </c>
      <c r="E7" s="77">
        <v>2931.5757484708288</v>
      </c>
      <c r="F7" s="77">
        <v>2881.185593143387</v>
      </c>
      <c r="G7" s="77">
        <v>2658.0839211696707</v>
      </c>
      <c r="H7" s="77">
        <v>2501.2084991510796</v>
      </c>
      <c r="I7" s="77">
        <v>2362.6676347564762</v>
      </c>
      <c r="J7" s="71"/>
    </row>
    <row r="8" spans="1:10" ht="15" customHeight="1" x14ac:dyDescent="0.25">
      <c r="A8" s="71"/>
      <c r="B8" s="74"/>
      <c r="C8" s="74" t="s">
        <v>94</v>
      </c>
      <c r="D8" s="75">
        <v>2673</v>
      </c>
      <c r="E8" s="75">
        <v>2522</v>
      </c>
      <c r="F8" s="75">
        <v>2369</v>
      </c>
      <c r="G8" s="75">
        <v>1603</v>
      </c>
      <c r="H8" s="75">
        <v>1470</v>
      </c>
      <c r="I8" s="75">
        <v>1337</v>
      </c>
      <c r="J8" s="71"/>
    </row>
    <row r="9" spans="1:10" ht="27" customHeight="1" x14ac:dyDescent="0.25">
      <c r="A9" s="68"/>
      <c r="B9" s="62" t="s">
        <v>84</v>
      </c>
      <c r="C9" s="94" t="s">
        <v>85</v>
      </c>
      <c r="D9" s="94"/>
      <c r="E9" s="94"/>
      <c r="F9" s="94"/>
      <c r="G9" s="94"/>
      <c r="H9" s="94"/>
      <c r="I9" s="94"/>
      <c r="J9" s="68"/>
    </row>
    <row r="10" spans="1:10" ht="54" customHeight="1" x14ac:dyDescent="0.25">
      <c r="A10" s="68"/>
      <c r="B10" s="61"/>
      <c r="C10" s="95" t="s">
        <v>95</v>
      </c>
      <c r="D10" s="95"/>
      <c r="E10" s="95"/>
      <c r="F10" s="95"/>
      <c r="G10" s="95"/>
      <c r="H10" s="95"/>
      <c r="I10" s="95"/>
      <c r="J10" s="69"/>
    </row>
    <row r="11" spans="1:10" x14ac:dyDescent="0.25">
      <c r="A11" s="78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5" customHeight="1" x14ac:dyDescent="0.25">
      <c r="A12" s="68"/>
      <c r="B12" s="92"/>
      <c r="C12" s="92"/>
      <c r="D12" s="93" t="s">
        <v>51</v>
      </c>
      <c r="E12" s="93"/>
      <c r="F12" s="93"/>
      <c r="G12" s="93"/>
      <c r="H12" s="93"/>
      <c r="I12" s="93"/>
      <c r="J12" s="69"/>
    </row>
    <row r="13" spans="1:10" ht="15" customHeight="1" x14ac:dyDescent="0.25">
      <c r="A13" s="68"/>
      <c r="B13" s="79" t="s">
        <v>0</v>
      </c>
      <c r="C13" s="79" t="s">
        <v>35</v>
      </c>
      <c r="D13" s="73">
        <v>2013</v>
      </c>
      <c r="E13" s="73">
        <v>2014</v>
      </c>
      <c r="F13" s="73">
        <v>2015</v>
      </c>
      <c r="G13" s="73">
        <v>2020</v>
      </c>
      <c r="H13" s="73">
        <v>2025</v>
      </c>
      <c r="I13" s="73">
        <v>2030</v>
      </c>
      <c r="J13" s="68"/>
    </row>
    <row r="14" spans="1:10" ht="15" customHeight="1" x14ac:dyDescent="0.25">
      <c r="A14" s="71"/>
      <c r="B14" s="80" t="s">
        <v>3</v>
      </c>
      <c r="C14" s="80" t="s">
        <v>86</v>
      </c>
      <c r="D14" s="77">
        <v>3143.7873752457313</v>
      </c>
      <c r="E14" s="77">
        <v>2931.5757484708288</v>
      </c>
      <c r="F14" s="77">
        <v>2881.185593143387</v>
      </c>
      <c r="G14" s="77">
        <v>2658.0839211696707</v>
      </c>
      <c r="H14" s="77">
        <v>2501.2084991510796</v>
      </c>
      <c r="I14" s="77">
        <v>2362.6676347564762</v>
      </c>
      <c r="J14" s="71"/>
    </row>
    <row r="15" spans="1:10" ht="15" customHeight="1" x14ac:dyDescent="0.25">
      <c r="A15" s="71"/>
      <c r="B15" s="76"/>
      <c r="C15" s="76" t="s">
        <v>94</v>
      </c>
      <c r="D15" s="81">
        <v>2673</v>
      </c>
      <c r="E15" s="81">
        <v>2522</v>
      </c>
      <c r="F15" s="81">
        <v>2369</v>
      </c>
      <c r="G15" s="81">
        <v>1603</v>
      </c>
      <c r="H15" s="81">
        <v>1470</v>
      </c>
      <c r="I15" s="81">
        <v>1337</v>
      </c>
      <c r="J15" s="71"/>
    </row>
    <row r="16" spans="1:10" ht="15" customHeight="1" x14ac:dyDescent="0.25">
      <c r="A16" s="71"/>
      <c r="B16" s="86"/>
      <c r="C16" s="86" t="s">
        <v>93</v>
      </c>
      <c r="D16" s="88">
        <v>3000</v>
      </c>
      <c r="E16" s="87"/>
      <c r="F16" s="87"/>
      <c r="G16" s="87"/>
      <c r="H16" s="87"/>
      <c r="I16" s="87"/>
      <c r="J16" s="71"/>
    </row>
    <row r="17" spans="1:10" ht="15" customHeight="1" x14ac:dyDescent="0.25">
      <c r="A17" s="71"/>
      <c r="B17" s="74"/>
      <c r="C17" s="74" t="s">
        <v>91</v>
      </c>
      <c r="D17" s="75"/>
      <c r="E17" s="75">
        <v>2000</v>
      </c>
      <c r="F17" s="75"/>
      <c r="G17" s="75"/>
      <c r="H17" s="75"/>
      <c r="I17" s="75"/>
      <c r="J17" s="71"/>
    </row>
    <row r="18" spans="1:10" ht="15" customHeight="1" x14ac:dyDescent="0.25">
      <c r="A18" s="71"/>
      <c r="B18" s="89"/>
      <c r="C18" s="89" t="s">
        <v>90</v>
      </c>
      <c r="D18" s="90"/>
      <c r="E18" s="90" t="s">
        <v>92</v>
      </c>
      <c r="F18" s="90"/>
      <c r="G18" s="90"/>
      <c r="H18" s="90"/>
      <c r="I18" s="90"/>
      <c r="J18" s="71"/>
    </row>
    <row r="19" spans="1:10" ht="27" customHeight="1" x14ac:dyDescent="0.25">
      <c r="A19" s="68"/>
      <c r="B19" s="62" t="s">
        <v>84</v>
      </c>
      <c r="C19" s="94" t="s">
        <v>85</v>
      </c>
      <c r="D19" s="94"/>
      <c r="E19" s="94"/>
      <c r="F19" s="94"/>
      <c r="G19" s="94"/>
      <c r="H19" s="94"/>
      <c r="I19" s="94"/>
      <c r="J19" s="69"/>
    </row>
    <row r="20" spans="1:10" ht="54" customHeight="1" x14ac:dyDescent="0.25">
      <c r="A20" s="68"/>
      <c r="B20" s="61"/>
      <c r="C20" s="95" t="s">
        <v>95</v>
      </c>
      <c r="D20" s="95"/>
      <c r="E20" s="95"/>
      <c r="F20" s="95"/>
      <c r="G20" s="95"/>
      <c r="H20" s="95"/>
      <c r="I20" s="95"/>
      <c r="J20" s="69"/>
    </row>
    <row r="21" spans="1:10" ht="42" customHeight="1" x14ac:dyDescent="0.25">
      <c r="A21" s="68"/>
      <c r="B21" s="61"/>
      <c r="C21" s="91" t="s">
        <v>96</v>
      </c>
      <c r="D21" s="91"/>
      <c r="E21" s="91"/>
      <c r="F21" s="91"/>
      <c r="G21" s="91"/>
      <c r="H21" s="91"/>
      <c r="I21" s="91"/>
      <c r="J21" s="69"/>
    </row>
    <row r="22" spans="1:10" x14ac:dyDescent="0.25">
      <c r="A22" s="68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5" customHeight="1" x14ac:dyDescent="0.25">
      <c r="A23" s="68"/>
      <c r="B23" s="92"/>
      <c r="C23" s="92"/>
      <c r="D23" s="93" t="s">
        <v>51</v>
      </c>
      <c r="E23" s="93"/>
      <c r="F23" s="93"/>
      <c r="G23" s="93"/>
      <c r="H23" s="93"/>
      <c r="I23" s="93"/>
      <c r="J23" s="69"/>
    </row>
    <row r="24" spans="1:10" ht="15" customHeight="1" x14ac:dyDescent="0.25">
      <c r="A24" s="71"/>
      <c r="B24" s="79" t="s">
        <v>0</v>
      </c>
      <c r="C24" s="79" t="s">
        <v>35</v>
      </c>
      <c r="D24" s="73">
        <v>2013</v>
      </c>
      <c r="E24" s="73">
        <v>2014</v>
      </c>
      <c r="F24" s="73">
        <v>2015</v>
      </c>
      <c r="G24" s="73">
        <v>2020</v>
      </c>
      <c r="H24" s="73">
        <v>2025</v>
      </c>
      <c r="I24" s="73">
        <v>2030</v>
      </c>
      <c r="J24" s="71"/>
    </row>
    <row r="25" spans="1:10" ht="15" customHeight="1" x14ac:dyDescent="0.25">
      <c r="A25" s="71"/>
      <c r="B25" s="80" t="s">
        <v>1</v>
      </c>
      <c r="C25" s="80" t="s">
        <v>36</v>
      </c>
      <c r="D25" s="77">
        <v>2246.0506376353919</v>
      </c>
      <c r="E25" s="77">
        <v>2274.2705767394159</v>
      </c>
      <c r="F25" s="77">
        <v>2329.6564574856798</v>
      </c>
      <c r="G25" s="77">
        <v>2293.1339347197736</v>
      </c>
      <c r="H25" s="77">
        <v>2192.4679814623</v>
      </c>
      <c r="I25" s="77">
        <v>2105.6255092485826</v>
      </c>
      <c r="J25" s="71"/>
    </row>
    <row r="26" spans="1:10" ht="15" customHeight="1" x14ac:dyDescent="0.25">
      <c r="A26" s="71"/>
      <c r="B26" s="76"/>
      <c r="C26" s="76" t="s">
        <v>88</v>
      </c>
      <c r="D26" s="81">
        <v>1758.4246185702707</v>
      </c>
      <c r="E26" s="81">
        <v>1728.6805695612381</v>
      </c>
      <c r="F26" s="81">
        <v>1720.8260890714032</v>
      </c>
      <c r="G26" s="81">
        <v>1673.5042852139438</v>
      </c>
      <c r="H26" s="81">
        <v>1642.6287342976877</v>
      </c>
      <c r="I26" s="81">
        <v>1630.1125811987142</v>
      </c>
      <c r="J26" s="71"/>
    </row>
    <row r="27" spans="1:10" ht="15" customHeight="1" x14ac:dyDescent="0.25">
      <c r="A27" s="71"/>
      <c r="B27" s="80"/>
      <c r="C27" s="80" t="s">
        <v>90</v>
      </c>
      <c r="D27" s="77"/>
      <c r="E27" s="77" t="s">
        <v>89</v>
      </c>
      <c r="F27" s="77"/>
      <c r="G27" s="77"/>
      <c r="H27" s="77"/>
      <c r="I27" s="77"/>
      <c r="J27" s="71"/>
    </row>
    <row r="28" spans="1:10" ht="15" customHeight="1" x14ac:dyDescent="0.25">
      <c r="A28" s="71"/>
      <c r="B28" s="82"/>
      <c r="C28" s="82" t="s">
        <v>87</v>
      </c>
      <c r="D28" s="83">
        <v>1630</v>
      </c>
      <c r="E28" s="83"/>
      <c r="F28" s="83"/>
      <c r="G28" s="83"/>
      <c r="H28" s="83"/>
      <c r="I28" s="83"/>
      <c r="J28" s="71"/>
    </row>
    <row r="29" spans="1:10" ht="27" customHeight="1" x14ac:dyDescent="0.25">
      <c r="A29" s="68"/>
      <c r="B29" s="62" t="s">
        <v>84</v>
      </c>
      <c r="C29" s="94" t="s">
        <v>85</v>
      </c>
      <c r="D29" s="94"/>
      <c r="E29" s="94"/>
      <c r="F29" s="94"/>
      <c r="G29" s="94"/>
      <c r="H29" s="94"/>
      <c r="I29" s="94"/>
      <c r="J29" s="69"/>
    </row>
    <row r="30" spans="1:10" ht="42" customHeight="1" x14ac:dyDescent="0.25">
      <c r="A30" s="68"/>
      <c r="B30" s="61"/>
      <c r="C30" s="91" t="s">
        <v>97</v>
      </c>
      <c r="D30" s="91"/>
      <c r="E30" s="91"/>
      <c r="F30" s="91"/>
      <c r="G30" s="91"/>
      <c r="H30" s="91"/>
      <c r="I30" s="91"/>
      <c r="J30" s="69"/>
    </row>
    <row r="31" spans="1:10" x14ac:dyDescent="0.25">
      <c r="A31" s="78"/>
      <c r="B31" s="84"/>
      <c r="C31" s="84"/>
      <c r="D31" s="84"/>
      <c r="E31" s="84"/>
      <c r="F31" s="84"/>
      <c r="G31" s="84"/>
      <c r="H31" s="84"/>
      <c r="I31" s="84"/>
      <c r="J31" s="85"/>
    </row>
  </sheetData>
  <mergeCells count="13">
    <mergeCell ref="C30:I30"/>
    <mergeCell ref="B3:C3"/>
    <mergeCell ref="D3:I3"/>
    <mergeCell ref="C9:I9"/>
    <mergeCell ref="C10:I10"/>
    <mergeCell ref="B12:C12"/>
    <mergeCell ref="D12:I12"/>
    <mergeCell ref="C19:I19"/>
    <mergeCell ref="C21:I21"/>
    <mergeCell ref="B23:C23"/>
    <mergeCell ref="D23:I23"/>
    <mergeCell ref="C29:I29"/>
    <mergeCell ref="C20:I20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AD35"/>
  <sheetViews>
    <sheetView tabSelected="1" zoomScale="70" zoomScaleNormal="70" workbookViewId="0">
      <selection activeCell="E14" sqref="E14"/>
    </sheetView>
  </sheetViews>
  <sheetFormatPr defaultRowHeight="12.75" x14ac:dyDescent="0.2"/>
  <cols>
    <col min="1" max="1" width="13" customWidth="1"/>
    <col min="2" max="2" width="17" customWidth="1"/>
    <col min="3" max="3" width="11.140625" customWidth="1"/>
    <col min="5" max="5" width="14.7109375" customWidth="1"/>
    <col min="10" max="10" width="10.5703125" bestFit="1" customWidth="1"/>
    <col min="15" max="15" width="10.5703125" bestFit="1" customWidth="1"/>
    <col min="20" max="20" width="10.5703125" bestFit="1" customWidth="1"/>
    <col min="25" max="25" width="10.5703125" bestFit="1" customWidth="1"/>
    <col min="30" max="30" width="10.5703125" bestFit="1" customWidth="1"/>
  </cols>
  <sheetData>
    <row r="3" spans="1:30" ht="13.5" thickBot="1" x14ac:dyDescent="0.25">
      <c r="C3" s="2" t="s">
        <v>51</v>
      </c>
    </row>
    <row r="4" spans="1:30" ht="13.5" thickBot="1" x14ac:dyDescent="0.25">
      <c r="A4" s="23" t="s">
        <v>0</v>
      </c>
      <c r="B4" s="24" t="s">
        <v>35</v>
      </c>
      <c r="C4" s="24">
        <v>2013</v>
      </c>
      <c r="D4" s="24">
        <v>2014</v>
      </c>
      <c r="E4" s="24">
        <v>2015</v>
      </c>
      <c r="F4" s="24">
        <v>2016</v>
      </c>
      <c r="G4" s="24">
        <v>2017</v>
      </c>
      <c r="H4" s="24">
        <v>2018</v>
      </c>
      <c r="I4" s="24">
        <v>2019</v>
      </c>
      <c r="J4" s="24">
        <v>2020</v>
      </c>
      <c r="K4" s="24">
        <v>2021</v>
      </c>
      <c r="L4" s="24">
        <v>2022</v>
      </c>
      <c r="M4" s="24">
        <v>2023</v>
      </c>
      <c r="N4" s="24">
        <v>2024</v>
      </c>
      <c r="O4" s="24">
        <v>2025</v>
      </c>
      <c r="P4" s="24">
        <v>2026</v>
      </c>
      <c r="Q4" s="24">
        <v>2027</v>
      </c>
      <c r="R4" s="24">
        <v>2028</v>
      </c>
      <c r="S4" s="24">
        <v>2029</v>
      </c>
      <c r="T4" s="24">
        <v>2030</v>
      </c>
      <c r="U4" s="24">
        <v>2031</v>
      </c>
      <c r="V4" s="24">
        <v>2032</v>
      </c>
      <c r="W4" s="24">
        <v>2033</v>
      </c>
      <c r="X4" s="24">
        <v>2034</v>
      </c>
      <c r="Y4" s="24">
        <v>2035</v>
      </c>
      <c r="Z4" s="24">
        <v>2036</v>
      </c>
      <c r="AA4" s="24">
        <v>2037</v>
      </c>
      <c r="AB4" s="24">
        <v>2038</v>
      </c>
      <c r="AC4" s="24">
        <v>2039</v>
      </c>
      <c r="AD4" s="25">
        <v>2040</v>
      </c>
    </row>
    <row r="5" spans="1:30" ht="25.5" customHeight="1" x14ac:dyDescent="0.2">
      <c r="A5" s="100" t="s">
        <v>3</v>
      </c>
      <c r="B5" s="17" t="s">
        <v>58</v>
      </c>
      <c r="C5" s="18">
        <f>HLOOKUP(C$4,EIA!$16:$19,2,0)</f>
        <v>3929.734219057164</v>
      </c>
      <c r="D5" s="18">
        <f>HLOOKUP(D$4,EIA!$16:$19,2,0)</f>
        <v>3664.4696855885359</v>
      </c>
      <c r="E5" s="18">
        <f>HLOOKUP(E$4,EIA!$16:$19,2,0)</f>
        <v>3601.4819914292339</v>
      </c>
      <c r="F5" s="18">
        <f>HLOOKUP(F$4,EIA!$16:$19,2,0)</f>
        <v>3474.0036548217026</v>
      </c>
      <c r="G5" s="18">
        <f>HLOOKUP(G$4,EIA!$16:$19,2,0)</f>
        <v>3413.8953222192717</v>
      </c>
      <c r="H5" s="18">
        <f>HLOOKUP(H$4,EIA!$16:$19,2,0)</f>
        <v>3388.4226159855511</v>
      </c>
      <c r="I5" s="18">
        <f>HLOOKUP(I$4,EIA!$16:$19,2,0)</f>
        <v>3357.4463177480484</v>
      </c>
      <c r="J5" s="18">
        <f>HLOOKUP(J$4,EIA!$16:$19,2,0)</f>
        <v>3322.6049014620885</v>
      </c>
      <c r="K5" s="18">
        <f>HLOOKUP(K$4,EIA!$16:$19,2,0)</f>
        <v>3279.9143092685276</v>
      </c>
      <c r="L5" s="18">
        <f>HLOOKUP(L$4,EIA!$16:$19,2,0)</f>
        <v>3237.7366627501692</v>
      </c>
      <c r="M5" s="18">
        <f>HLOOKUP(M$4,EIA!$16:$19,2,0)</f>
        <v>3197.9786891346494</v>
      </c>
      <c r="N5" s="18">
        <f>HLOOKUP(N$4,EIA!$16:$19,2,0)</f>
        <v>3162.9084769360093</v>
      </c>
      <c r="O5" s="18">
        <f>HLOOKUP(O$4,EIA!$16:$19,2,0)</f>
        <v>3126.5106239388497</v>
      </c>
      <c r="P5" s="18">
        <f>HLOOKUP(P$4,EIA!$16:$19,2,0)</f>
        <v>3093.5180262376143</v>
      </c>
      <c r="Q5" s="18">
        <f>HLOOKUP(Q$4,EIA!$16:$19,2,0)</f>
        <v>3058.4884068621909</v>
      </c>
      <c r="R5" s="18">
        <f>HLOOKUP(R$4,EIA!$16:$19,2,0)</f>
        <v>3023.3778857062298</v>
      </c>
      <c r="S5" s="18">
        <f>HLOOKUP(S$4,EIA!$16:$19,2,0)</f>
        <v>2988.1694308159326</v>
      </c>
      <c r="T5" s="18">
        <f>HLOOKUP(T$4,EIA!$16:$19,2,0)</f>
        <v>2953.334543445595</v>
      </c>
      <c r="U5" s="18">
        <f>HLOOKUP(U$4,EIA!$16:$19,2,0)</f>
        <v>2919.3075384170547</v>
      </c>
      <c r="V5" s="18">
        <f>HLOOKUP(V$4,EIA!$16:$19,2,0)</f>
        <v>2883.1538100909938</v>
      </c>
      <c r="W5" s="18">
        <f>HLOOKUP(W$4,EIA!$16:$19,2,0)</f>
        <v>2846.2120700358992</v>
      </c>
      <c r="X5" s="18">
        <f>HLOOKUP(X$4,EIA!$16:$19,2,0)</f>
        <v>2810.0203036796897</v>
      </c>
      <c r="Y5" s="18">
        <f>HLOOKUP(Y$4,EIA!$16:$19,2,0)</f>
        <v>2773.5824255911061</v>
      </c>
      <c r="Z5" s="18">
        <f>HLOOKUP(Z$4,EIA!$16:$19,2,0)</f>
        <v>2732.8295020079127</v>
      </c>
      <c r="AA5" s="18">
        <f>HLOOKUP(AA$4,EIA!$16:$19,2,0)</f>
        <v>2689.7219108122081</v>
      </c>
      <c r="AB5" s="18">
        <f>HLOOKUP(AB$4,EIA!$16:$19,2,0)</f>
        <v>2665.8570210169769</v>
      </c>
      <c r="AC5" s="18">
        <f>HLOOKUP(AC$4,EIA!$16:$19,2,0)</f>
        <v>2641.2415897910664</v>
      </c>
      <c r="AD5" s="19">
        <f>HLOOKUP(AD$4,EIA!$16:$19,2,0)</f>
        <v>2616.6329713466744</v>
      </c>
    </row>
    <row r="6" spans="1:30" ht="25.5" customHeight="1" x14ac:dyDescent="0.2">
      <c r="A6" s="101"/>
      <c r="B6" s="46" t="s">
        <v>57</v>
      </c>
      <c r="C6" s="48">
        <f>IFERROR(C5/$C$18,"")</f>
        <v>3143.7873752457313</v>
      </c>
      <c r="D6" s="48">
        <f t="shared" ref="D6:AD6" si="0">IFERROR(D5/$C$18,"")</f>
        <v>2931.5757484708288</v>
      </c>
      <c r="E6" s="48">
        <f t="shared" si="0"/>
        <v>2881.185593143387</v>
      </c>
      <c r="F6" s="48">
        <f t="shared" si="0"/>
        <v>2779.2029238573623</v>
      </c>
      <c r="G6" s="48">
        <f t="shared" si="0"/>
        <v>2731.1162577754176</v>
      </c>
      <c r="H6" s="48">
        <f t="shared" si="0"/>
        <v>2710.738092788441</v>
      </c>
      <c r="I6" s="48">
        <f t="shared" si="0"/>
        <v>2685.9570541984385</v>
      </c>
      <c r="J6" s="48">
        <f t="shared" si="0"/>
        <v>2658.0839211696707</v>
      </c>
      <c r="K6" s="48">
        <f t="shared" si="0"/>
        <v>2623.9314474148223</v>
      </c>
      <c r="L6" s="48">
        <f t="shared" si="0"/>
        <v>2590.1893302001354</v>
      </c>
      <c r="M6" s="48">
        <f t="shared" si="0"/>
        <v>2558.3829513077194</v>
      </c>
      <c r="N6" s="48">
        <f t="shared" si="0"/>
        <v>2530.3267815488075</v>
      </c>
      <c r="O6" s="48">
        <f t="shared" si="0"/>
        <v>2501.2084991510796</v>
      </c>
      <c r="P6" s="48">
        <f t="shared" si="0"/>
        <v>2474.8144209900915</v>
      </c>
      <c r="Q6" s="48">
        <f t="shared" si="0"/>
        <v>2446.7907254897527</v>
      </c>
      <c r="R6" s="48">
        <f t="shared" si="0"/>
        <v>2418.7023085649839</v>
      </c>
      <c r="S6" s="48">
        <f t="shared" si="0"/>
        <v>2390.535544652746</v>
      </c>
      <c r="T6" s="48">
        <f t="shared" si="0"/>
        <v>2362.6676347564762</v>
      </c>
      <c r="U6" s="48">
        <f t="shared" si="0"/>
        <v>2335.446030733644</v>
      </c>
      <c r="V6" s="48">
        <f t="shared" si="0"/>
        <v>2306.5230480727951</v>
      </c>
      <c r="W6" s="48">
        <f t="shared" si="0"/>
        <v>2276.9696560287193</v>
      </c>
      <c r="X6" s="48">
        <f t="shared" si="0"/>
        <v>2248.0162429437519</v>
      </c>
      <c r="Y6" s="48">
        <f t="shared" si="0"/>
        <v>2218.8659404728851</v>
      </c>
      <c r="Z6" s="48">
        <f t="shared" si="0"/>
        <v>2186.2636016063302</v>
      </c>
      <c r="AA6" s="48">
        <f t="shared" si="0"/>
        <v>2151.7775286497663</v>
      </c>
      <c r="AB6" s="48">
        <f t="shared" si="0"/>
        <v>2132.6856168135814</v>
      </c>
      <c r="AC6" s="48">
        <f t="shared" si="0"/>
        <v>2112.9932718328532</v>
      </c>
      <c r="AD6" s="49">
        <f t="shared" si="0"/>
        <v>2093.3063770773397</v>
      </c>
    </row>
    <row r="7" spans="1:30" ht="25.5" customHeight="1" x14ac:dyDescent="0.2">
      <c r="A7" s="102"/>
      <c r="B7" s="41" t="s">
        <v>53</v>
      </c>
      <c r="C7" s="43">
        <f>IFERROR(HLOOKUP(C$4,ATB!$32:$33,2,0),"")</f>
        <v>2674</v>
      </c>
      <c r="D7" s="43" t="str">
        <f>IFERROR(HLOOKUP(D$4,ATB!$32:$33,2,0),"")</f>
        <v/>
      </c>
      <c r="E7" s="43">
        <f>IFERROR(HLOOKUP(E$4,ATB!$32:$33,2,0),"")</f>
        <v>2368</v>
      </c>
      <c r="F7" s="43" t="str">
        <f>IFERROR(HLOOKUP(F$4,ATB!$32:$33,2,0),"")</f>
        <v/>
      </c>
      <c r="G7" s="43" t="str">
        <f>IFERROR(HLOOKUP(G$4,ATB!$32:$33,2,0),"")</f>
        <v/>
      </c>
      <c r="H7" s="43" t="str">
        <f>IFERROR(HLOOKUP(H$4,ATB!$32:$33,2,0),"")</f>
        <v/>
      </c>
      <c r="I7" s="43" t="str">
        <f>IFERROR(HLOOKUP(I$4,ATB!$32:$33,2,0),"")</f>
        <v/>
      </c>
      <c r="J7" s="43">
        <f>IFERROR(HLOOKUP(J$4,ATB!$32:$33,2,0),"")</f>
        <v>1604</v>
      </c>
      <c r="K7" s="43" t="str">
        <f>IFERROR(HLOOKUP(K$4,ATB!$32:$33,2,0),"")</f>
        <v/>
      </c>
      <c r="L7" s="43" t="str">
        <f>IFERROR(HLOOKUP(L$4,ATB!$32:$33,2,0),"")</f>
        <v/>
      </c>
      <c r="M7" s="43" t="str">
        <f>IFERROR(HLOOKUP(M$4,ATB!$32:$33,2,0),"")</f>
        <v/>
      </c>
      <c r="N7" s="43" t="str">
        <f>IFERROR(HLOOKUP(N$4,ATB!$32:$33,2,0),"")</f>
        <v/>
      </c>
      <c r="O7" s="43">
        <f>IFERROR(HLOOKUP(O$4,ATB!$32:$33,2,0),"")</f>
        <v>1470</v>
      </c>
      <c r="P7" s="43" t="str">
        <f>IFERROR(HLOOKUP(P$4,ATB!$32:$33,2,0),"")</f>
        <v/>
      </c>
      <c r="Q7" s="43" t="str">
        <f>IFERROR(HLOOKUP(Q$4,ATB!$32:$33,2,0),"")</f>
        <v/>
      </c>
      <c r="R7" s="43" t="str">
        <f>IFERROR(HLOOKUP(R$4,ATB!$32:$33,2,0),"")</f>
        <v/>
      </c>
      <c r="S7" s="43" t="str">
        <f>IFERROR(HLOOKUP(S$4,ATB!$32:$33,2,0),"")</f>
        <v/>
      </c>
      <c r="T7" s="43">
        <f>IFERROR(HLOOKUP(T$4,ATB!$32:$33,2,0),"")</f>
        <v>1337</v>
      </c>
      <c r="U7" s="43" t="str">
        <f>IFERROR(HLOOKUP(U$4,ATB!$32:$33,2,0),"")</f>
        <v/>
      </c>
      <c r="V7" s="43" t="str">
        <f>IFERROR(HLOOKUP(V$4,ATB!$32:$33,2,0),"")</f>
        <v/>
      </c>
      <c r="W7" s="43" t="str">
        <f>IFERROR(HLOOKUP(W$4,ATB!$32:$33,2,0),"")</f>
        <v/>
      </c>
      <c r="X7" s="43" t="str">
        <f>IFERROR(HLOOKUP(X$4,ATB!$32:$33,2,0),"")</f>
        <v/>
      </c>
      <c r="Y7" s="43">
        <f>IFERROR(HLOOKUP(Y$4,ATB!$32:$33,2,0),"")</f>
        <v>1203</v>
      </c>
      <c r="Z7" s="43" t="str">
        <f>IFERROR(HLOOKUP(Z$4,ATB!$32:$33,2,0),"")</f>
        <v/>
      </c>
      <c r="AA7" s="43" t="str">
        <f>IFERROR(HLOOKUP(AA$4,ATB!$32:$33,2,0),"")</f>
        <v/>
      </c>
      <c r="AB7" s="43" t="str">
        <f>IFERROR(HLOOKUP(AB$4,ATB!$32:$33,2,0),"")</f>
        <v/>
      </c>
      <c r="AC7" s="43" t="str">
        <f>IFERROR(HLOOKUP(AC$4,ATB!$32:$33,2,0),"")</f>
        <v/>
      </c>
      <c r="AD7" s="44">
        <f>IFERROR(HLOOKUP(AD$4,ATB!$32:$33,2,0),"")</f>
        <v>1069</v>
      </c>
    </row>
    <row r="8" spans="1:30" ht="24" customHeight="1" thickBot="1" x14ac:dyDescent="0.25">
      <c r="A8" s="103"/>
      <c r="B8" s="51" t="s">
        <v>52</v>
      </c>
      <c r="C8" s="52">
        <f>IFERROR(C7*$C$18,"")</f>
        <v>3342.5</v>
      </c>
      <c r="D8" s="52" t="str">
        <f t="shared" ref="D8:AD8" si="1">IFERROR(D7*$C$18,"")</f>
        <v/>
      </c>
      <c r="E8" s="52">
        <f t="shared" si="1"/>
        <v>2960</v>
      </c>
      <c r="F8" s="52" t="str">
        <f t="shared" si="1"/>
        <v/>
      </c>
      <c r="G8" s="52" t="str">
        <f t="shared" si="1"/>
        <v/>
      </c>
      <c r="H8" s="52" t="str">
        <f t="shared" si="1"/>
        <v/>
      </c>
      <c r="I8" s="52" t="str">
        <f t="shared" si="1"/>
        <v/>
      </c>
      <c r="J8" s="52">
        <f t="shared" si="1"/>
        <v>2005</v>
      </c>
      <c r="K8" s="52" t="str">
        <f t="shared" si="1"/>
        <v/>
      </c>
      <c r="L8" s="52" t="str">
        <f t="shared" si="1"/>
        <v/>
      </c>
      <c r="M8" s="52" t="str">
        <f t="shared" si="1"/>
        <v/>
      </c>
      <c r="N8" s="52" t="str">
        <f t="shared" si="1"/>
        <v/>
      </c>
      <c r="O8" s="52">
        <f t="shared" si="1"/>
        <v>1837.5</v>
      </c>
      <c r="P8" s="52" t="str">
        <f t="shared" si="1"/>
        <v/>
      </c>
      <c r="Q8" s="52" t="str">
        <f t="shared" si="1"/>
        <v/>
      </c>
      <c r="R8" s="52" t="str">
        <f t="shared" si="1"/>
        <v/>
      </c>
      <c r="S8" s="52" t="str">
        <f t="shared" si="1"/>
        <v/>
      </c>
      <c r="T8" s="52">
        <f t="shared" si="1"/>
        <v>1671.25</v>
      </c>
      <c r="U8" s="52" t="str">
        <f t="shared" si="1"/>
        <v/>
      </c>
      <c r="V8" s="52" t="str">
        <f t="shared" si="1"/>
        <v/>
      </c>
      <c r="W8" s="52" t="str">
        <f t="shared" si="1"/>
        <v/>
      </c>
      <c r="X8" s="52" t="str">
        <f t="shared" si="1"/>
        <v/>
      </c>
      <c r="Y8" s="52">
        <f t="shared" si="1"/>
        <v>1503.75</v>
      </c>
      <c r="Z8" s="52" t="str">
        <f t="shared" si="1"/>
        <v/>
      </c>
      <c r="AA8" s="52" t="str">
        <f t="shared" si="1"/>
        <v/>
      </c>
      <c r="AB8" s="52" t="str">
        <f t="shared" si="1"/>
        <v/>
      </c>
      <c r="AC8" s="52" t="str">
        <f t="shared" si="1"/>
        <v/>
      </c>
      <c r="AD8" s="53">
        <f t="shared" si="1"/>
        <v>1336.25</v>
      </c>
    </row>
    <row r="9" spans="1:30" ht="12.75" customHeight="1" x14ac:dyDescent="0.2">
      <c r="A9" s="98" t="s">
        <v>1</v>
      </c>
      <c r="B9" s="15" t="s">
        <v>36</v>
      </c>
      <c r="C9" s="16">
        <f>HLOOKUP(C$4,EIA!$16:$19,3,0)</f>
        <v>2246.0506376353919</v>
      </c>
      <c r="D9" s="16">
        <f>HLOOKUP(D$4,EIA!$16:$19,3,0)</f>
        <v>2274.2705767394159</v>
      </c>
      <c r="E9" s="16">
        <f>HLOOKUP(E$4,EIA!$16:$19,3,0)</f>
        <v>2329.6564574856798</v>
      </c>
      <c r="F9" s="16">
        <f>HLOOKUP(F$4,EIA!$16:$19,3,0)</f>
        <v>2332.6106718088727</v>
      </c>
      <c r="G9" s="16">
        <f>HLOOKUP(G$4,EIA!$16:$19,3,0)</f>
        <v>2333.1586891846196</v>
      </c>
      <c r="H9" s="16">
        <f>HLOOKUP(H$4,EIA!$16:$19,3,0)</f>
        <v>2324.0841082127554</v>
      </c>
      <c r="I9" s="16">
        <f>HLOOKUP(I$4,EIA!$16:$19,3,0)</f>
        <v>2309.9707450253763</v>
      </c>
      <c r="J9" s="16">
        <f>HLOOKUP(J$4,EIA!$16:$19,3,0)</f>
        <v>2293.1339347197736</v>
      </c>
      <c r="K9" s="16">
        <f>HLOOKUP(K$4,EIA!$16:$19,3,0)</f>
        <v>2270.7887068526802</v>
      </c>
      <c r="L9" s="16">
        <f>HLOOKUP(L$4,EIA!$16:$19,3,0)</f>
        <v>2248.6902291184138</v>
      </c>
      <c r="M9" s="16">
        <f>HLOOKUP(M$4,EIA!$16:$19,3,0)</f>
        <v>2228.1690255251297</v>
      </c>
      <c r="N9" s="16">
        <f>HLOOKUP(N$4,EIA!$16:$19,3,0)</f>
        <v>2210.8240456913172</v>
      </c>
      <c r="O9" s="16">
        <f>HLOOKUP(O$4,EIA!$16:$19,3,0)</f>
        <v>2192.4679814623</v>
      </c>
      <c r="P9" s="16">
        <f>HLOOKUP(P$4,EIA!$16:$19,3,0)</f>
        <v>2176.4202461156233</v>
      </c>
      <c r="Q9" s="16">
        <f>HLOOKUP(Q$4,EIA!$16:$19,3,0)</f>
        <v>2158.8607009489174</v>
      </c>
      <c r="R9" s="16">
        <f>HLOOKUP(R$4,EIA!$16:$19,3,0)</f>
        <v>2141.1601557063109</v>
      </c>
      <c r="S9" s="16">
        <f>HLOOKUP(S$4,EIA!$16:$19,3,0)</f>
        <v>2123.3035032368139</v>
      </c>
      <c r="T9" s="16">
        <f>HLOOKUP(T$4,EIA!$16:$19,3,0)</f>
        <v>2105.6255092485826</v>
      </c>
      <c r="U9" s="16">
        <f>HLOOKUP(U$4,EIA!$16:$19,3,0)</f>
        <v>2088.4381692511815</v>
      </c>
      <c r="V9" s="16">
        <f>HLOOKUP(V$4,EIA!$16:$19,3,0)</f>
        <v>2069.6387429822576</v>
      </c>
      <c r="W9" s="16">
        <f>HLOOKUP(W$4,EIA!$16:$19,3,0)</f>
        <v>2050.1743831255817</v>
      </c>
      <c r="X9" s="16">
        <f>HLOOKUP(X$4,EIA!$16:$19,3,0)</f>
        <v>2031.1498822013368</v>
      </c>
      <c r="Y9" s="16">
        <f>HLOOKUP(Y$4,EIA!$16:$19,3,0)</f>
        <v>2011.8455705674612</v>
      </c>
      <c r="Z9" s="16">
        <f>HLOOKUP(Z$4,EIA!$16:$19,3,0)</f>
        <v>1992.4593737963394</v>
      </c>
      <c r="AA9" s="16">
        <f>HLOOKUP(AA$4,EIA!$16:$19,3,0)</f>
        <v>1975.2223334616256</v>
      </c>
      <c r="AB9" s="16">
        <f>HLOOKUP(AB$4,EIA!$16:$19,3,0)</f>
        <v>1958.9814893153448</v>
      </c>
      <c r="AC9" s="16">
        <f>HLOOKUP(AC$4,EIA!$16:$19,3,0)</f>
        <v>1942.1730415397076</v>
      </c>
      <c r="AD9" s="26">
        <f>HLOOKUP(AD$4,EIA!$16:$19,3,0)</f>
        <v>1925.3537135653021</v>
      </c>
    </row>
    <row r="10" spans="1:30" ht="26.25" customHeight="1" thickBot="1" x14ac:dyDescent="0.25">
      <c r="A10" s="99"/>
      <c r="B10" s="20" t="s">
        <v>38</v>
      </c>
      <c r="C10" s="21" t="str">
        <f>IFERROR(HLOOKUP(C$4,ATB!$A$17:$F$28,7,0),"")</f>
        <v/>
      </c>
      <c r="D10" s="21">
        <f>IFERROR(HLOOKUP(D$4,ATB!$B$9:$F$14,4,0),"")</f>
        <v>1729</v>
      </c>
      <c r="E10" s="21" t="str">
        <f>IFERROR(HLOOKUP(E$4,ATB!$B$9:$F$14,4,0),"")</f>
        <v/>
      </c>
      <c r="F10" s="21" t="str">
        <f>IFERROR(HLOOKUP(F$4,ATB!$B$9:$F$14,4,0),"")</f>
        <v/>
      </c>
      <c r="G10" s="21" t="str">
        <f>IFERROR(HLOOKUP(G$4,ATB!$B$9:$F$14,4,0),"")</f>
        <v/>
      </c>
      <c r="H10" s="21" t="str">
        <f>IFERROR(HLOOKUP(H$4,ATB!$B$9:$F$14,4,0),"")</f>
        <v/>
      </c>
      <c r="I10" s="21" t="str">
        <f>IFERROR(HLOOKUP(I$4,ATB!$B$9:$F$14,4,0),"")</f>
        <v/>
      </c>
      <c r="J10" s="21" t="str">
        <f>IFERROR(HLOOKUP(J$4,ATB!$B$9:$F$14,4,0),"")</f>
        <v/>
      </c>
      <c r="K10" s="21" t="str">
        <f>IFERROR(HLOOKUP(K$4,ATB!$B$9:$F$14,4,0),"")</f>
        <v/>
      </c>
      <c r="L10" s="21" t="str">
        <f>IFERROR(HLOOKUP(L$4,ATB!$B$9:$F$14,4,0),"")</f>
        <v/>
      </c>
      <c r="M10" s="21" t="str">
        <f>IFERROR(HLOOKUP(M$4,ATB!$B$9:$F$14,4,0),"")</f>
        <v/>
      </c>
      <c r="N10" s="21" t="str">
        <f>IFERROR(HLOOKUP(N$4,ATB!$B$9:$F$14,4,0),"")</f>
        <v/>
      </c>
      <c r="O10" s="21" t="str">
        <f>IFERROR(HLOOKUP(O$4,ATB!$B$9:$F$14,4,0),"")</f>
        <v/>
      </c>
      <c r="P10" s="21" t="str">
        <f>IFERROR(HLOOKUP(P$4,ATB!$B$9:$F$14,4,0),"")</f>
        <v/>
      </c>
      <c r="Q10" s="21" t="str">
        <f>IFERROR(HLOOKUP(Q$4,ATB!$B$9:$F$14,4,0),"")</f>
        <v/>
      </c>
      <c r="R10" s="21" t="str">
        <f>IFERROR(HLOOKUP(R$4,ATB!$B$9:$F$14,4,0),"")</f>
        <v/>
      </c>
      <c r="S10" s="21" t="str">
        <f>IFERROR(HLOOKUP(S$4,ATB!$B$9:$F$14,4,0),"")</f>
        <v/>
      </c>
      <c r="T10" s="21">
        <f>IFERROR(HLOOKUP(T$4,ATB!$B$9:$F$14,4,0),"")</f>
        <v>1724</v>
      </c>
      <c r="U10" s="21" t="str">
        <f>IFERROR(HLOOKUP(U$4,ATB!$B$9:$F$14,4,0),"")</f>
        <v/>
      </c>
      <c r="V10" s="21" t="str">
        <f>IFERROR(HLOOKUP(V$4,ATB!$B$9:$F$14,4,0),"")</f>
        <v/>
      </c>
      <c r="W10" s="21" t="str">
        <f>IFERROR(HLOOKUP(W$4,ATB!$B$9:$F$14,4,0),"")</f>
        <v/>
      </c>
      <c r="X10" s="21" t="str">
        <f>IFERROR(HLOOKUP(X$4,ATB!$B$9:$F$14,4,0),"")</f>
        <v/>
      </c>
      <c r="Y10" s="21" t="str">
        <f>IFERROR(HLOOKUP(Y$4,ATB!$B$9:$F$14,4,0),"")</f>
        <v/>
      </c>
      <c r="Z10" s="21" t="str">
        <f>IFERROR(HLOOKUP(Z$4,ATB!$B$9:$F$14,4,0),"")</f>
        <v/>
      </c>
      <c r="AA10" s="21" t="str">
        <f>IFERROR(HLOOKUP(AA$4,ATB!$B$9:$F$14,4,0),"")</f>
        <v/>
      </c>
      <c r="AB10" s="21" t="str">
        <f>IFERROR(HLOOKUP(AB$4,ATB!$B$9:$F$14,4,0),"")</f>
        <v/>
      </c>
      <c r="AC10" s="21" t="str">
        <f>IFERROR(HLOOKUP(AC$4,ATB!$B$9:$F$14,4,0),"")</f>
        <v/>
      </c>
      <c r="AD10" s="22" t="str">
        <f>IFERROR(HLOOKUP(AD$4,ATB!$B$9:$F$14,4,0),"")</f>
        <v/>
      </c>
    </row>
    <row r="11" spans="1:30" ht="12.75" customHeight="1" x14ac:dyDescent="0.2">
      <c r="A11" s="98" t="s">
        <v>2</v>
      </c>
      <c r="B11" s="15" t="s">
        <v>36</v>
      </c>
      <c r="C11" s="16">
        <f>HLOOKUP(C$4,EIA!$16:$19,4,0)</f>
        <v>6321.9725649926431</v>
      </c>
      <c r="D11" s="16">
        <f>HLOOKUP(D$4,EIA!$16:$19,4,0)</f>
        <v>6384.5925659915347</v>
      </c>
      <c r="E11" s="16">
        <f>HLOOKUP(E$4,EIA!$16:$19,4,0)</f>
        <v>6518.536360841118</v>
      </c>
      <c r="F11" s="16">
        <f>HLOOKUP(F$4,EIA!$16:$19,4,0)</f>
        <v>6505.1399978117543</v>
      </c>
      <c r="G11" s="16">
        <f>HLOOKUP(G$4,EIA!$16:$19,4,0)</f>
        <v>6484.9038777857586</v>
      </c>
      <c r="H11" s="16">
        <f>HLOOKUP(H$4,EIA!$16:$19,4,0)</f>
        <v>6437.9077601837262</v>
      </c>
      <c r="I11" s="16">
        <f>HLOOKUP(I$4,EIA!$16:$19,4,0)</f>
        <v>6377.074932694286</v>
      </c>
      <c r="J11" s="16">
        <f>HLOOKUP(J$4,EIA!$16:$19,4,0)</f>
        <v>6308.91935514545</v>
      </c>
      <c r="K11" s="16">
        <f>HLOOKUP(K$4,EIA!$16:$19,4,0)</f>
        <v>6225.8842192379552</v>
      </c>
      <c r="L11" s="16">
        <f>HLOOKUP(L$4,EIA!$16:$19,4,0)</f>
        <v>6143.8532526857998</v>
      </c>
      <c r="M11" s="16">
        <f>HLOOKUP(M$4,EIA!$16:$19,4,0)</f>
        <v>6066.4429528265055</v>
      </c>
      <c r="N11" s="16">
        <f>HLOOKUP(N$4,EIA!$16:$19,4,0)</f>
        <v>5997.9486850704106</v>
      </c>
      <c r="O11" s="16">
        <f>HLOOKUP(O$4,EIA!$16:$19,4,0)</f>
        <v>5926.9606061103677</v>
      </c>
      <c r="P11" s="16">
        <f>HLOOKUP(P$4,EIA!$16:$19,4,0)</f>
        <v>5862.4507831790343</v>
      </c>
      <c r="Q11" s="16">
        <f>HLOOKUP(Q$4,EIA!$16:$19,4,0)</f>
        <v>5794.1018100506508</v>
      </c>
      <c r="R11" s="16">
        <f>HLOOKUP(R$4,EIA!$16:$19,4,0)</f>
        <v>5725.6229147637005</v>
      </c>
      <c r="S11" s="16">
        <f>HLOOKUP(S$4,EIA!$16:$19,4,0)</f>
        <v>5656.9818647215898</v>
      </c>
      <c r="T11" s="16">
        <f>HLOOKUP(T$4,EIA!$16:$19,4,0)</f>
        <v>5589.0727425651494</v>
      </c>
      <c r="U11" s="16">
        <f>HLOOKUP(U$4,EIA!$16:$19,4,0)</f>
        <v>5522.7172315644002</v>
      </c>
      <c r="V11" s="16">
        <f>HLOOKUP(V$4,EIA!$16:$19,4,0)</f>
        <v>5452.3619032697452</v>
      </c>
      <c r="W11" s="16">
        <f>HLOOKUP(W$4,EIA!$16:$19,4,0)</f>
        <v>5380.5442068620569</v>
      </c>
      <c r="X11" s="16">
        <f>HLOOKUP(X$4,EIA!$16:$19,4,0)</f>
        <v>5310.1725143260564</v>
      </c>
      <c r="Y11" s="16">
        <f>HLOOKUP(Y$4,EIA!$16:$19,4,0)</f>
        <v>5239.3634502486193</v>
      </c>
      <c r="Z11" s="16">
        <f>HLOOKUP(Z$4,EIA!$16:$19,4,0)</f>
        <v>5168.6396785806237</v>
      </c>
      <c r="AA11" s="16">
        <f>HLOOKUP(AA$4,EIA!$16:$19,4,0)</f>
        <v>5103.770834111875</v>
      </c>
      <c r="AB11" s="16">
        <f>HLOOKUP(AB$4,EIA!$16:$19,4,0)</f>
        <v>5041.725565104508</v>
      </c>
      <c r="AC11" s="16">
        <f>HLOOKUP(AC$4,EIA!$16:$19,4,0)</f>
        <v>4978.4668628070121</v>
      </c>
      <c r="AD11" s="26">
        <f>HLOOKUP(AD$4,EIA!$16:$19,4,0)</f>
        <v>4915.4342845717547</v>
      </c>
    </row>
    <row r="12" spans="1:30" ht="36.75" customHeight="1" thickBot="1" x14ac:dyDescent="0.25">
      <c r="A12" s="99"/>
      <c r="B12" s="20" t="s">
        <v>39</v>
      </c>
      <c r="C12" s="21" t="str">
        <f>IFERROR(HLOOKUP(C$4,ATB!$A$18:$F$28,7,0),"")</f>
        <v/>
      </c>
      <c r="D12" s="21">
        <f>IFERROR(HLOOKUP(D$4,ATB!$A$18:$F$28,7,0),"")</f>
        <v>5859</v>
      </c>
      <c r="E12" s="21" t="str">
        <f>IFERROR(HLOOKUP(E$4,ATB!$A$18:$F$28,7,0),"")</f>
        <v/>
      </c>
      <c r="F12" s="21" t="str">
        <f>IFERROR(HLOOKUP(F$4,ATB!$A$18:$F$28,7,0),"")</f>
        <v/>
      </c>
      <c r="G12" s="21" t="str">
        <f>IFERROR(HLOOKUP(G$4,ATB!$A$18:$F$28,7,0),"")</f>
        <v/>
      </c>
      <c r="H12" s="21" t="str">
        <f>IFERROR(HLOOKUP(H$4,ATB!$A$18:$F$28,7,0),"")</f>
        <v/>
      </c>
      <c r="I12" s="21" t="str">
        <f>IFERROR(HLOOKUP(I$4,ATB!$A$18:$F$28,7,0),"")</f>
        <v/>
      </c>
      <c r="J12" s="21" t="str">
        <f>IFERROR(HLOOKUP(J$4,ATB!$A$18:$F$28,7,0),"")</f>
        <v/>
      </c>
      <c r="K12" s="21" t="str">
        <f>IFERROR(HLOOKUP(K$4,ATB!$A$18:$F$28,7,0),"")</f>
        <v/>
      </c>
      <c r="L12" s="21" t="str">
        <f>IFERROR(HLOOKUP(L$4,ATB!$A$18:$F$28,7,0),"")</f>
        <v/>
      </c>
      <c r="M12" s="21" t="str">
        <f>IFERROR(HLOOKUP(M$4,ATB!$A$18:$F$28,7,0),"")</f>
        <v/>
      </c>
      <c r="N12" s="21" t="str">
        <f>IFERROR(HLOOKUP(N$4,ATB!$A$18:$F$28,7,0),"")</f>
        <v/>
      </c>
      <c r="O12" s="21" t="str">
        <f>IFERROR(HLOOKUP(O$4,ATB!$A$18:$F$28,7,0),"")</f>
        <v/>
      </c>
      <c r="P12" s="21" t="str">
        <f>IFERROR(HLOOKUP(P$4,ATB!$A$18:$F$28,7,0),"")</f>
        <v/>
      </c>
      <c r="Q12" s="21" t="str">
        <f>IFERROR(HLOOKUP(Q$4,ATB!$A$18:$F$28,7,0),"")</f>
        <v/>
      </c>
      <c r="R12" s="21" t="str">
        <f>IFERROR(HLOOKUP(R$4,ATB!$A$18:$F$28,7,0),"")</f>
        <v/>
      </c>
      <c r="S12" s="21" t="str">
        <f>IFERROR(HLOOKUP(S$4,ATB!$A$18:$F$28,7,0),"")</f>
        <v/>
      </c>
      <c r="T12" s="21">
        <f>IFERROR(HLOOKUP(T$4,ATB!$A$18:$F$28,7,0),"")</f>
        <v>4249</v>
      </c>
      <c r="U12" s="21" t="str">
        <f>IFERROR(HLOOKUP(U$4,ATB!$A$18:$F$28,7,0),"")</f>
        <v/>
      </c>
      <c r="V12" s="21" t="str">
        <f>IFERROR(HLOOKUP(V$4,ATB!$A$18:$F$28,7,0),"")</f>
        <v/>
      </c>
      <c r="W12" s="21" t="str">
        <f>IFERROR(HLOOKUP(W$4,ATB!$A$18:$F$28,7,0),"")</f>
        <v/>
      </c>
      <c r="X12" s="21" t="str">
        <f>IFERROR(HLOOKUP(X$4,ATB!$A$18:$F$28,7,0),"")</f>
        <v/>
      </c>
      <c r="Y12" s="21" t="str">
        <f>IFERROR(HLOOKUP(Y$4,ATB!$A$18:$F$28,7,0),"")</f>
        <v/>
      </c>
      <c r="Z12" s="21" t="str">
        <f>IFERROR(HLOOKUP(Z$4,ATB!$A$18:$F$28,7,0),"")</f>
        <v/>
      </c>
      <c r="AA12" s="21" t="str">
        <f>IFERROR(HLOOKUP(AA$4,ATB!$A$18:$F$28,7,0),"")</f>
        <v/>
      </c>
      <c r="AB12" s="21" t="str">
        <f>IFERROR(HLOOKUP(AB$4,ATB!$A$18:$F$28,7,0),"")</f>
        <v/>
      </c>
      <c r="AC12" s="21" t="str">
        <f>IFERROR(HLOOKUP(AC$4,ATB!$A$18:$F$28,7,0),"")</f>
        <v/>
      </c>
      <c r="AD12" s="22" t="str">
        <f>IFERROR(HLOOKUP(AD$4,ATB!$A$18:$F$28,7,0),"")</f>
        <v/>
      </c>
    </row>
    <row r="13" spans="1:30" ht="22.5" customHeight="1" x14ac:dyDescent="0.2">
      <c r="A13" s="96" t="s">
        <v>66</v>
      </c>
      <c r="B13" s="57" t="s">
        <v>68</v>
      </c>
      <c r="C13" s="16">
        <f>HLOOKUP(C$4,EIA!$16:$20,5,0)</f>
        <v>5142.1209808496315</v>
      </c>
      <c r="D13" s="16">
        <f>HLOOKUP(D$4,EIA!$16:$20,5,0)</f>
        <v>4858.0254306346214</v>
      </c>
      <c r="E13" s="16">
        <f>HLOOKUP(E$4,EIA!$16:$20,5,0)</f>
        <v>3989.7709517915946</v>
      </c>
      <c r="F13" s="16">
        <f>HLOOKUP(F$4,EIA!$16:$20,5,0)</f>
        <v>3980.1823954003444</v>
      </c>
      <c r="G13" s="16">
        <f>HLOOKUP(G$4,EIA!$16:$20,5,0)</f>
        <v>3966.3997549128831</v>
      </c>
      <c r="H13" s="16">
        <f>HLOOKUP(H$4,EIA!$16:$20,5,0)</f>
        <v>3936.2494606238065</v>
      </c>
      <c r="I13" s="16">
        <f>HLOOKUP(I$4,EIA!$16:$20,5,0)</f>
        <v>3897.6472013750604</v>
      </c>
      <c r="J13" s="16">
        <f>HLOOKUP(J$4,EIA!$16:$20,5,0)</f>
        <v>3854.5819423803255</v>
      </c>
      <c r="K13" s="16">
        <f>HLOOKUP(K$4,EIA!$16:$20,5,0)</f>
        <v>3802.4438039400175</v>
      </c>
      <c r="L13" s="16">
        <f>HLOOKUP(L$4,EIA!$16:$20,5,0)</f>
        <v>3750.9398812530876</v>
      </c>
      <c r="M13" s="16">
        <f>HLOOKUP(M$4,EIA!$16:$20,5,0)</f>
        <v>3702.2779017144908</v>
      </c>
      <c r="N13" s="16">
        <f>HLOOKUP(N$4,EIA!$16:$20,5,0)</f>
        <v>3659.075101953963</v>
      </c>
      <c r="O13" s="16">
        <f>HLOOKUP(O$4,EIA!$16:$20,5,0)</f>
        <v>3614.3669949233704</v>
      </c>
      <c r="P13" s="16">
        <f>HLOOKUP(P$4,EIA!$16:$20,5,0)</f>
        <v>3573.6252126511827</v>
      </c>
      <c r="Q13" s="16">
        <f>HLOOKUP(Q$4,EIA!$16:$20,5,0)</f>
        <v>3530.5585386279927</v>
      </c>
      <c r="R13" s="16">
        <f>HLOOKUP(R$4,EIA!$16:$20,5,0)</f>
        <v>3487.4298863584886</v>
      </c>
      <c r="S13" s="16">
        <f>HLOOKUP(S$4,EIA!$16:$20,5,0)</f>
        <v>3444.2194454443056</v>
      </c>
      <c r="T13" s="16">
        <f>HLOOKUP(T$4,EIA!$16:$20,5,0)</f>
        <v>3401.4717188347959</v>
      </c>
      <c r="U13" s="16">
        <f>HLOOKUP(U$4,EIA!$16:$20,5,0)</f>
        <v>3359.6862115744525</v>
      </c>
      <c r="V13" s="16">
        <f>HLOOKUP(V$4,EIA!$16:$20,5,0)</f>
        <v>3315.4858167533907</v>
      </c>
      <c r="W13" s="16">
        <f>HLOOKUP(W$4,EIA!$16:$20,5,0)</f>
        <v>3270.415745444097</v>
      </c>
      <c r="X13" s="16">
        <f>HLOOKUP(X$4,EIA!$16:$20,5,0)</f>
        <v>3226.2447832148928</v>
      </c>
      <c r="Y13" s="16">
        <f>HLOOKUP(Y$4,EIA!$16:$20,5,0)</f>
        <v>3181.8278890402689</v>
      </c>
      <c r="Z13" s="16">
        <f>HLOOKUP(Z$4,EIA!$16:$20,5,0)</f>
        <v>3137.4834443225227</v>
      </c>
      <c r="AA13" s="16">
        <f>HLOOKUP(AA$4,EIA!$16:$20,5,0)</f>
        <v>3096.7125124641689</v>
      </c>
      <c r="AB13" s="16">
        <f>HLOOKUP(AB$4,EIA!$16:$20,5,0)</f>
        <v>3057.6721604058616</v>
      </c>
      <c r="AC13" s="16">
        <f>HLOOKUP(AC$4,EIA!$16:$20,5,0)</f>
        <v>3017.9129738925876</v>
      </c>
      <c r="AD13" s="26">
        <f>HLOOKUP(AD$4,EIA!$16:$20,5,0)</f>
        <v>2978.308591492254</v>
      </c>
    </row>
    <row r="14" spans="1:30" ht="36.75" customHeight="1" x14ac:dyDescent="0.2">
      <c r="A14" s="97"/>
      <c r="B14" s="57" t="s">
        <v>67</v>
      </c>
      <c r="C14" s="16" t="str">
        <f>IFERROR(HLOOKUP(C$4,ATB!$44:$47,2,0),"")</f>
        <v/>
      </c>
      <c r="D14" s="16" t="str">
        <f>IFERROR(HLOOKUP(D$4,ATB!$44:$47,2,0),"")</f>
        <v/>
      </c>
      <c r="E14" s="16">
        <f>IFERROR(HLOOKUP(E$4,ATB!$44:$47,2,0),"")</f>
        <v>4157</v>
      </c>
      <c r="F14" s="16" t="str">
        <f>IFERROR(HLOOKUP(F$4,ATB!$44:$47,2,0),"")</f>
        <v/>
      </c>
      <c r="G14" s="16" t="str">
        <f>IFERROR(HLOOKUP(G$4,ATB!$44:$47,2,0),"")</f>
        <v/>
      </c>
      <c r="H14" s="16" t="str">
        <f>IFERROR(HLOOKUP(H$4,ATB!$44:$47,2,0),"")</f>
        <v/>
      </c>
      <c r="I14" s="16" t="str">
        <f>IFERROR(HLOOKUP(I$4,ATB!$44:$47,2,0),"")</f>
        <v/>
      </c>
      <c r="J14" s="16">
        <f>IFERROR(HLOOKUP(J$4,ATB!$44:$47,2,0),"")</f>
        <v>3995</v>
      </c>
      <c r="K14" s="16" t="str">
        <f>IFERROR(HLOOKUP(K$4,ATB!$44:$47,2,0),"")</f>
        <v/>
      </c>
      <c r="L14" s="16" t="str">
        <f>IFERROR(HLOOKUP(L$4,ATB!$44:$47,2,0),"")</f>
        <v/>
      </c>
      <c r="M14" s="16" t="str">
        <f>IFERROR(HLOOKUP(M$4,ATB!$44:$47,2,0),"")</f>
        <v/>
      </c>
      <c r="N14" s="16" t="str">
        <f>IFERROR(HLOOKUP(N$4,ATB!$44:$47,2,0),"")</f>
        <v/>
      </c>
      <c r="O14" s="16">
        <f>IFERROR(HLOOKUP(O$4,ATB!$44:$47,2,0),"")</f>
        <v>3883</v>
      </c>
      <c r="P14" s="16" t="str">
        <f>IFERROR(HLOOKUP(P$4,ATB!$44:$47,2,0),"")</f>
        <v/>
      </c>
      <c r="Q14" s="16" t="str">
        <f>IFERROR(HLOOKUP(Q$4,ATB!$44:$47,2,0),"")</f>
        <v/>
      </c>
      <c r="R14" s="16" t="str">
        <f>IFERROR(HLOOKUP(R$4,ATB!$44:$47,2,0),"")</f>
        <v/>
      </c>
      <c r="S14" s="16" t="str">
        <f>IFERROR(HLOOKUP(S$4,ATB!$44:$47,2,0),"")</f>
        <v/>
      </c>
      <c r="T14" s="16">
        <f>IFERROR(HLOOKUP(T$4,ATB!$44:$47,2,0),"")</f>
        <v>3671</v>
      </c>
      <c r="U14" s="16" t="str">
        <f>IFERROR(HLOOKUP(U$4,ATB!$44:$47,2,0),"")</f>
        <v/>
      </c>
      <c r="V14" s="16" t="str">
        <f>IFERROR(HLOOKUP(V$4,ATB!$44:$47,2,0),"")</f>
        <v/>
      </c>
      <c r="W14" s="16" t="str">
        <f>IFERROR(HLOOKUP(W$4,ATB!$44:$47,2,0),"")</f>
        <v/>
      </c>
      <c r="X14" s="16" t="str">
        <f>IFERROR(HLOOKUP(X$4,ATB!$44:$47,2,0),"")</f>
        <v/>
      </c>
      <c r="Y14" s="16">
        <f>IFERROR(HLOOKUP(Y$4,ATB!$44:$47,2,0),"")</f>
        <v>3509</v>
      </c>
      <c r="Z14" s="16" t="str">
        <f>IFERROR(HLOOKUP(Z$4,ATB!$44:$47,2,0),"")</f>
        <v/>
      </c>
      <c r="AA14" s="16" t="str">
        <f>IFERROR(HLOOKUP(AA$4,ATB!$44:$47,2,0),"")</f>
        <v/>
      </c>
      <c r="AB14" s="16" t="str">
        <f>IFERROR(HLOOKUP(AB$4,ATB!$44:$47,2,0),"")</f>
        <v/>
      </c>
      <c r="AC14" s="16" t="str">
        <f>IFERROR(HLOOKUP(AC$4,ATB!$44:$47,2,0),"")</f>
        <v/>
      </c>
      <c r="AD14" s="26">
        <f>IFERROR(HLOOKUP(AD$4,ATB!$44:$47,2,0),"")</f>
        <v>3347</v>
      </c>
    </row>
    <row r="15" spans="1:30" ht="36.75" customHeight="1" x14ac:dyDescent="0.2">
      <c r="A15" s="54"/>
      <c r="B15" s="5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x14ac:dyDescent="0.2">
      <c r="B16" s="13" t="s">
        <v>42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x14ac:dyDescent="0.2">
      <c r="A17">
        <v>1</v>
      </c>
      <c r="B17" t="s">
        <v>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x14ac:dyDescent="0.2">
      <c r="A18" s="47">
        <v>2</v>
      </c>
      <c r="B18" s="47" t="s">
        <v>59</v>
      </c>
      <c r="C18" s="45">
        <f>1/0.8</f>
        <v>1.25</v>
      </c>
      <c r="D18" s="50" t="s">
        <v>60</v>
      </c>
      <c r="E18" s="60" t="s">
        <v>77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x14ac:dyDescent="0.2">
      <c r="A19">
        <v>3</v>
      </c>
      <c r="B19" t="s">
        <v>69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x14ac:dyDescent="0.2">
      <c r="A20">
        <v>4</v>
      </c>
      <c r="B20" t="s">
        <v>76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2" spans="1:30" ht="13.5" thickBot="1" x14ac:dyDescent="0.25">
      <c r="C22" s="2" t="s">
        <v>9</v>
      </c>
    </row>
    <row r="23" spans="1:30" ht="13.5" thickBot="1" x14ac:dyDescent="0.25">
      <c r="A23" s="23" t="s">
        <v>0</v>
      </c>
      <c r="B23" s="24" t="s">
        <v>35</v>
      </c>
      <c r="C23" s="24">
        <v>2013</v>
      </c>
      <c r="D23" s="24">
        <v>2014</v>
      </c>
      <c r="E23" s="24">
        <v>2015</v>
      </c>
      <c r="F23" s="24">
        <v>2016</v>
      </c>
      <c r="G23" s="24">
        <v>2017</v>
      </c>
      <c r="H23" s="24">
        <v>2018</v>
      </c>
      <c r="I23" s="24">
        <v>2019</v>
      </c>
      <c r="J23" s="24">
        <v>2020</v>
      </c>
      <c r="K23" s="24">
        <v>2021</v>
      </c>
      <c r="L23" s="24">
        <v>2022</v>
      </c>
      <c r="M23" s="24">
        <v>2023</v>
      </c>
      <c r="N23" s="24">
        <v>2024</v>
      </c>
      <c r="O23" s="24">
        <v>2025</v>
      </c>
      <c r="P23" s="24">
        <v>2026</v>
      </c>
      <c r="Q23" s="24">
        <v>2027</v>
      </c>
      <c r="R23" s="24">
        <v>2028</v>
      </c>
      <c r="S23" s="24">
        <v>2029</v>
      </c>
      <c r="T23" s="24">
        <v>2030</v>
      </c>
      <c r="U23" s="24">
        <v>2031</v>
      </c>
      <c r="V23" s="24">
        <v>2032</v>
      </c>
      <c r="W23" s="24">
        <v>2033</v>
      </c>
      <c r="X23" s="24">
        <v>2034</v>
      </c>
      <c r="Y23" s="24">
        <v>2035</v>
      </c>
      <c r="Z23" s="24">
        <v>2036</v>
      </c>
      <c r="AA23" s="24">
        <v>2037</v>
      </c>
      <c r="AB23" s="24">
        <v>2038</v>
      </c>
      <c r="AC23" s="24">
        <v>2039</v>
      </c>
      <c r="AD23" s="25">
        <v>2040</v>
      </c>
    </row>
    <row r="24" spans="1:30" ht="25.5" customHeight="1" x14ac:dyDescent="0.2">
      <c r="A24" s="104" t="s">
        <v>3</v>
      </c>
      <c r="B24" s="17" t="s">
        <v>36</v>
      </c>
      <c r="C24" s="30">
        <f>HLOOKUP(C$23,EIA!$27:$30,2,0)</f>
        <v>0.25005245421613964</v>
      </c>
      <c r="D24" s="31">
        <f>HLOOKUP(D$23,EIA!$27:$30,2,0)</f>
        <v>0.25005245421613964</v>
      </c>
      <c r="E24" s="31">
        <f>HLOOKUP(E$23,EIA!$27:$30,2,0)</f>
        <v>0.25005245421613964</v>
      </c>
      <c r="F24" s="31">
        <f>HLOOKUP(F$23,EIA!$27:$30,2,0)</f>
        <v>0.25005245421613964</v>
      </c>
      <c r="G24" s="31">
        <f>HLOOKUP(G$23,EIA!$27:$30,2,0)</f>
        <v>0.25005245421613964</v>
      </c>
      <c r="H24" s="31">
        <f>HLOOKUP(H$23,EIA!$27:$30,2,0)</f>
        <v>0.25005245421613964</v>
      </c>
      <c r="I24" s="31">
        <f>HLOOKUP(I$23,EIA!$27:$30,2,0)</f>
        <v>0.25005245421613964</v>
      </c>
      <c r="J24" s="31">
        <f>HLOOKUP(J$23,EIA!$27:$30,2,0)</f>
        <v>0.25005245421613964</v>
      </c>
      <c r="K24" s="31">
        <f>HLOOKUP(K$23,EIA!$27:$30,2,0)</f>
        <v>0.25005245421613964</v>
      </c>
      <c r="L24" s="31">
        <f>HLOOKUP(L$23,EIA!$27:$30,2,0)</f>
        <v>0.25005245421613964</v>
      </c>
      <c r="M24" s="31">
        <f>HLOOKUP(M$23,EIA!$27:$30,2,0)</f>
        <v>0.25005245421613964</v>
      </c>
      <c r="N24" s="31">
        <f>HLOOKUP(N$23,EIA!$27:$30,2,0)</f>
        <v>0.25005245421613964</v>
      </c>
      <c r="O24" s="31">
        <f>HLOOKUP(O$23,EIA!$27:$30,2,0)</f>
        <v>0.25005245421613964</v>
      </c>
      <c r="P24" s="31">
        <f>HLOOKUP(P$23,EIA!$27:$30,2,0)</f>
        <v>0.25005245421613964</v>
      </c>
      <c r="Q24" s="31">
        <f>HLOOKUP(Q$23,EIA!$27:$30,2,0)</f>
        <v>0.25005245421613964</v>
      </c>
      <c r="R24" s="31">
        <f>HLOOKUP(R$23,EIA!$27:$30,2,0)</f>
        <v>0.25005245421613964</v>
      </c>
      <c r="S24" s="31">
        <f>HLOOKUP(S$23,EIA!$27:$30,2,0)</f>
        <v>0.25005245421613964</v>
      </c>
      <c r="T24" s="31">
        <f>HLOOKUP(T$23,EIA!$27:$30,2,0)</f>
        <v>0.25005245421613964</v>
      </c>
      <c r="U24" s="31">
        <f>HLOOKUP(U$23,EIA!$27:$30,2,0)</f>
        <v>0.25005245421613964</v>
      </c>
      <c r="V24" s="31">
        <f>HLOOKUP(V$23,EIA!$27:$30,2,0)</f>
        <v>0.25005245421613964</v>
      </c>
      <c r="W24" s="31">
        <f>HLOOKUP(W$23,EIA!$27:$30,2,0)</f>
        <v>0.25005245421613964</v>
      </c>
      <c r="X24" s="31">
        <f>HLOOKUP(X$23,EIA!$27:$30,2,0)</f>
        <v>0.25005245421613964</v>
      </c>
      <c r="Y24" s="31">
        <f>HLOOKUP(Y$23,EIA!$27:$30,2,0)</f>
        <v>0.25005245421613964</v>
      </c>
      <c r="Z24" s="31">
        <f>HLOOKUP(Z$23,EIA!$27:$30,2,0)</f>
        <v>0.25005245421613964</v>
      </c>
      <c r="AA24" s="31">
        <f>HLOOKUP(AA$23,EIA!$27:$30,2,0)</f>
        <v>0.25005245421613964</v>
      </c>
      <c r="AB24" s="31">
        <f>HLOOKUP(AB$23,EIA!$27:$30,2,0)</f>
        <v>0.25005245421613964</v>
      </c>
      <c r="AC24" s="31">
        <f>HLOOKUP(AC$23,EIA!$27:$30,2,0)</f>
        <v>0.25005245421613964</v>
      </c>
      <c r="AD24" s="32">
        <f>HLOOKUP(AD$23,EIA!$27:$30,2,0)</f>
        <v>0.25005245421613964</v>
      </c>
    </row>
    <row r="25" spans="1:30" ht="12.75" customHeight="1" thickBot="1" x14ac:dyDescent="0.25">
      <c r="A25" s="105"/>
      <c r="B25" s="20" t="s">
        <v>37</v>
      </c>
      <c r="C25" s="40" t="s">
        <v>46</v>
      </c>
      <c r="D25" s="21" t="s">
        <v>46</v>
      </c>
      <c r="E25" s="21" t="s">
        <v>46</v>
      </c>
      <c r="F25" s="21" t="s">
        <v>46</v>
      </c>
      <c r="G25" s="21" t="s">
        <v>46</v>
      </c>
      <c r="H25" s="21" t="s">
        <v>46</v>
      </c>
      <c r="I25" s="21" t="s">
        <v>46</v>
      </c>
      <c r="J25" s="21" t="s">
        <v>46</v>
      </c>
      <c r="K25" s="21" t="s">
        <v>46</v>
      </c>
      <c r="L25" s="21" t="s">
        <v>46</v>
      </c>
      <c r="M25" s="21" t="s">
        <v>46</v>
      </c>
      <c r="N25" s="21" t="s">
        <v>46</v>
      </c>
      <c r="O25" s="21" t="s">
        <v>46</v>
      </c>
      <c r="P25" s="21" t="s">
        <v>46</v>
      </c>
      <c r="Q25" s="21" t="s">
        <v>46</v>
      </c>
      <c r="R25" s="21" t="s">
        <v>46</v>
      </c>
      <c r="S25" s="21" t="s">
        <v>46</v>
      </c>
      <c r="T25" s="21" t="s">
        <v>46</v>
      </c>
      <c r="U25" s="21" t="s">
        <v>46</v>
      </c>
      <c r="V25" s="21" t="s">
        <v>46</v>
      </c>
      <c r="W25" s="21" t="s">
        <v>46</v>
      </c>
      <c r="X25" s="21" t="s">
        <v>46</v>
      </c>
      <c r="Y25" s="21" t="s">
        <v>46</v>
      </c>
      <c r="Z25" s="21" t="s">
        <v>46</v>
      </c>
      <c r="AA25" s="21" t="s">
        <v>46</v>
      </c>
      <c r="AB25" s="21" t="s">
        <v>46</v>
      </c>
      <c r="AC25" s="21" t="s">
        <v>46</v>
      </c>
      <c r="AD25" s="22" t="s">
        <v>46</v>
      </c>
    </row>
    <row r="26" spans="1:30" ht="12.75" customHeight="1" x14ac:dyDescent="0.2">
      <c r="A26" s="106" t="s">
        <v>1</v>
      </c>
      <c r="B26" s="17" t="s">
        <v>36</v>
      </c>
      <c r="C26" s="30">
        <f>HLOOKUP(C$23,EIA!$27:$30,3,0)</f>
        <v>0.33387574147094379</v>
      </c>
      <c r="D26" s="31">
        <f>HLOOKUP(D$23,EIA!$27:$30,3,0)</f>
        <v>0.34342971173199738</v>
      </c>
      <c r="E26" s="31">
        <f>HLOOKUP(E$23,EIA!$27:$30,3,0)</f>
        <v>0.34165014462037518</v>
      </c>
      <c r="F26" s="31">
        <f>HLOOKUP(F$23,EIA!$27:$30,3,0)</f>
        <v>0.34194594892588531</v>
      </c>
      <c r="G26" s="31">
        <f>HLOOKUP(G$23,EIA!$27:$30,3,0)</f>
        <v>0.3419653651389209</v>
      </c>
      <c r="H26" s="31">
        <f>HLOOKUP(H$23,EIA!$27:$30,3,0)</f>
        <v>0.34198071468960156</v>
      </c>
      <c r="I26" s="31">
        <f>HLOOKUP(I$23,EIA!$27:$30,3,0)</f>
        <v>0.34198131209070032</v>
      </c>
      <c r="J26" s="31">
        <f>HLOOKUP(J$23,EIA!$27:$30,3,0)</f>
        <v>0.34198192168365826</v>
      </c>
      <c r="K26" s="31">
        <f>HLOOKUP(K$23,EIA!$27:$30,3,0)</f>
        <v>0.34199301085688849</v>
      </c>
      <c r="L26" s="31">
        <f>HLOOKUP(L$23,EIA!$27:$30,3,0)</f>
        <v>0.34263193336400116</v>
      </c>
      <c r="M26" s="31">
        <f>HLOOKUP(M$23,EIA!$27:$30,3,0)</f>
        <v>0.34288618374954571</v>
      </c>
      <c r="N26" s="31">
        <f>HLOOKUP(N$23,EIA!$27:$30,3,0)</f>
        <v>0.34290776740420947</v>
      </c>
      <c r="O26" s="31">
        <f>HLOOKUP(O$23,EIA!$27:$30,3,0)</f>
        <v>0.34301911836320703</v>
      </c>
      <c r="P26" s="31">
        <f>HLOOKUP(P$23,EIA!$27:$30,3,0)</f>
        <v>0.34307157315991144</v>
      </c>
      <c r="Q26" s="31">
        <f>HLOOKUP(Q$23,EIA!$27:$30,3,0)</f>
        <v>0.34387259727174585</v>
      </c>
      <c r="R26" s="31">
        <f>HLOOKUP(R$23,EIA!$27:$30,3,0)</f>
        <v>0.34571105648170819</v>
      </c>
      <c r="S26" s="31">
        <f>HLOOKUP(S$23,EIA!$27:$30,3,0)</f>
        <v>0.34188466180454602</v>
      </c>
      <c r="T26" s="31">
        <f>HLOOKUP(T$23,EIA!$27:$30,3,0)</f>
        <v>0.34004939957098529</v>
      </c>
      <c r="U26" s="31">
        <f>HLOOKUP(U$23,EIA!$27:$30,3,0)</f>
        <v>0.33850016648119147</v>
      </c>
      <c r="V26" s="31">
        <f>HLOOKUP(V$23,EIA!$27:$30,3,0)</f>
        <v>0.33683030713688245</v>
      </c>
      <c r="W26" s="31">
        <f>HLOOKUP(W$23,EIA!$27:$30,3,0)</f>
        <v>0.33710837228731677</v>
      </c>
      <c r="X26" s="31">
        <f>HLOOKUP(X$23,EIA!$27:$30,3,0)</f>
        <v>0.33626948161558673</v>
      </c>
      <c r="Y26" s="31">
        <f>HLOOKUP(Y$23,EIA!$27:$30,3,0)</f>
        <v>0.3375137610868974</v>
      </c>
      <c r="Z26" s="31">
        <f>HLOOKUP(Z$23,EIA!$27:$30,3,0)</f>
        <v>0.33687677844004199</v>
      </c>
      <c r="AA26" s="31">
        <f>HLOOKUP(AA$23,EIA!$27:$30,3,0)</f>
        <v>0.33833660998127679</v>
      </c>
      <c r="AB26" s="31">
        <f>HLOOKUP(AB$23,EIA!$27:$30,3,0)</f>
        <v>0.33982878246090631</v>
      </c>
      <c r="AC26" s="31">
        <f>HLOOKUP(AC$23,EIA!$27:$30,3,0)</f>
        <v>0.33912792530926789</v>
      </c>
      <c r="AD26" s="32">
        <f>HLOOKUP(AD$23,EIA!$27:$30,3,0)</f>
        <v>0.34030068462545221</v>
      </c>
    </row>
    <row r="27" spans="1:30" ht="26.25" customHeight="1" thickBot="1" x14ac:dyDescent="0.25">
      <c r="A27" s="99"/>
      <c r="B27" s="20" t="s">
        <v>38</v>
      </c>
      <c r="C27" s="35" t="str">
        <f>IFERROR(HLOOKUP(C$23,ATB!$G$9:$I$14,4,0),"")</f>
        <v/>
      </c>
      <c r="D27" s="35">
        <f>IFERROR(HLOOKUP(D$23,ATB!$G$9:$I$14,4,0),"")</f>
        <v>0.44</v>
      </c>
      <c r="E27" s="35" t="str">
        <f>IFERROR(HLOOKUP(E$23,ATB!$G$9:$I$14,4,0),"")</f>
        <v/>
      </c>
      <c r="F27" s="35" t="str">
        <f>IFERROR(HLOOKUP(F$23,ATB!$G$9:$I$14,4,0),"")</f>
        <v/>
      </c>
      <c r="G27" s="35" t="str">
        <f>IFERROR(HLOOKUP(G$23,ATB!$G$9:$I$14,4,0),"")</f>
        <v/>
      </c>
      <c r="H27" s="35" t="str">
        <f>IFERROR(HLOOKUP(H$23,ATB!$G$9:$I$14,4,0),"")</f>
        <v/>
      </c>
      <c r="I27" s="35" t="str">
        <f>IFERROR(HLOOKUP(I$23,ATB!$G$9:$I$14,4,0),"")</f>
        <v/>
      </c>
      <c r="J27" s="35" t="str">
        <f>IFERROR(HLOOKUP(J$23,ATB!$G$9:$I$14,4,0),"")</f>
        <v/>
      </c>
      <c r="K27" s="35" t="str">
        <f>IFERROR(HLOOKUP(K$23,ATB!$G$9:$I$14,4,0),"")</f>
        <v/>
      </c>
      <c r="L27" s="35" t="str">
        <f>IFERROR(HLOOKUP(L$23,ATB!$G$9:$I$14,4,0),"")</f>
        <v/>
      </c>
      <c r="M27" s="35" t="str">
        <f>IFERROR(HLOOKUP(M$23,ATB!$G$9:$I$14,4,0),"")</f>
        <v/>
      </c>
      <c r="N27" s="35" t="str">
        <f>IFERROR(HLOOKUP(N$23,ATB!$G$9:$I$14,4,0),"")</f>
        <v/>
      </c>
      <c r="O27" s="35" t="str">
        <f>IFERROR(HLOOKUP(O$23,ATB!$G$9:$I$14,4,0),"")</f>
        <v/>
      </c>
      <c r="P27" s="35" t="str">
        <f>IFERROR(HLOOKUP(P$23,ATB!$G$9:$I$14,4,0),"")</f>
        <v/>
      </c>
      <c r="Q27" s="35" t="str">
        <f>IFERROR(HLOOKUP(Q$23,ATB!$G$9:$I$14,4,0),"")</f>
        <v/>
      </c>
      <c r="R27" s="35" t="str">
        <f>IFERROR(HLOOKUP(R$23,ATB!$G$9:$I$14,4,0),"")</f>
        <v/>
      </c>
      <c r="S27" s="35" t="str">
        <f>IFERROR(HLOOKUP(S$23,ATB!$G$9:$I$14,4,0),"")</f>
        <v/>
      </c>
      <c r="T27" s="35">
        <f>IFERROR(HLOOKUP(T$23,ATB!$G$9:$I$14,4,0),"")</f>
        <v>0.5</v>
      </c>
      <c r="U27" s="35" t="str">
        <f>IFERROR(HLOOKUP(U$23,ATB!$G$9:$I$14,4,0),"")</f>
        <v/>
      </c>
      <c r="V27" s="35" t="str">
        <f>IFERROR(HLOOKUP(V$23,ATB!$G$9:$I$14,4,0),"")</f>
        <v/>
      </c>
      <c r="W27" s="35" t="str">
        <f>IFERROR(HLOOKUP(W$23,ATB!$G$9:$I$14,4,0),"")</f>
        <v/>
      </c>
      <c r="X27" s="35" t="str">
        <f>IFERROR(HLOOKUP(X$23,ATB!$G$9:$I$14,4,0),"")</f>
        <v/>
      </c>
      <c r="Y27" s="35" t="str">
        <f>IFERROR(HLOOKUP(Y$23,ATB!$G$9:$I$14,4,0),"")</f>
        <v/>
      </c>
      <c r="Z27" s="35" t="str">
        <f>IFERROR(HLOOKUP(Z$23,ATB!$G$9:$I$14,4,0),"")</f>
        <v/>
      </c>
      <c r="AA27" s="35" t="str">
        <f>IFERROR(HLOOKUP(AA$23,ATB!$G$9:$I$14,4,0),"")</f>
        <v/>
      </c>
      <c r="AB27" s="35" t="str">
        <f>IFERROR(HLOOKUP(AB$23,ATB!$G$9:$I$14,4,0),"")</f>
        <v/>
      </c>
      <c r="AC27" s="35" t="str">
        <f>IFERROR(HLOOKUP(AC$23,ATB!$G$9:$I$14,4,0),"")</f>
        <v/>
      </c>
      <c r="AD27" s="36" t="str">
        <f>IFERROR(HLOOKUP(AD$23,ATB!$G$9:$I$14,4,0),"")</f>
        <v/>
      </c>
    </row>
    <row r="28" spans="1:30" ht="12.75" customHeight="1" x14ac:dyDescent="0.2">
      <c r="A28" s="98" t="s">
        <v>2</v>
      </c>
      <c r="B28" s="15" t="s">
        <v>36</v>
      </c>
      <c r="C28" s="30">
        <f>HLOOKUP(C$23,EIA!$27:$30,4,0)</f>
        <v>0.38320751701082501</v>
      </c>
      <c r="D28" s="33">
        <f>HLOOKUP(D$23,EIA!$27:$30,4,0)</f>
        <v>0.38320751701082501</v>
      </c>
      <c r="E28" s="33">
        <f>HLOOKUP(E$23,EIA!$27:$30,4,0)</f>
        <v>0.38320751701082501</v>
      </c>
      <c r="F28" s="33">
        <f>HLOOKUP(F$23,EIA!$27:$30,4,0)</f>
        <v>0.38320751701082501</v>
      </c>
      <c r="G28" s="33">
        <f>HLOOKUP(G$23,EIA!$27:$30,4,0)</f>
        <v>0.38320751701082501</v>
      </c>
      <c r="H28" s="33">
        <f>HLOOKUP(H$23,EIA!$27:$30,4,0)</f>
        <v>0.38320751701082501</v>
      </c>
      <c r="I28" s="33">
        <f>HLOOKUP(I$23,EIA!$27:$30,4,0)</f>
        <v>0.38320751701082501</v>
      </c>
      <c r="J28" s="33">
        <f>HLOOKUP(J$23,EIA!$27:$30,4,0)</f>
        <v>0.38320751701082501</v>
      </c>
      <c r="K28" s="33">
        <f>HLOOKUP(K$23,EIA!$27:$30,4,0)</f>
        <v>0.38320751701082501</v>
      </c>
      <c r="L28" s="33">
        <f>HLOOKUP(L$23,EIA!$27:$30,4,0)</f>
        <v>0.38320751701082501</v>
      </c>
      <c r="M28" s="33">
        <f>HLOOKUP(M$23,EIA!$27:$30,4,0)</f>
        <v>0.38320751701082501</v>
      </c>
      <c r="N28" s="33">
        <f>HLOOKUP(N$23,EIA!$27:$30,4,0)</f>
        <v>0.38320751701082501</v>
      </c>
      <c r="O28" s="33">
        <f>HLOOKUP(O$23,EIA!$27:$30,4,0)</f>
        <v>0.38320751701082501</v>
      </c>
      <c r="P28" s="33">
        <f>HLOOKUP(P$23,EIA!$27:$30,4,0)</f>
        <v>0.38320751701082501</v>
      </c>
      <c r="Q28" s="33">
        <f>HLOOKUP(Q$23,EIA!$27:$30,4,0)</f>
        <v>0.38320751701082501</v>
      </c>
      <c r="R28" s="33">
        <f>HLOOKUP(R$23,EIA!$27:$30,4,0)</f>
        <v>0.38320751701082501</v>
      </c>
      <c r="S28" s="33">
        <f>HLOOKUP(S$23,EIA!$27:$30,4,0)</f>
        <v>0.38320751701082501</v>
      </c>
      <c r="T28" s="33">
        <f>HLOOKUP(T$23,EIA!$27:$30,4,0)</f>
        <v>0.38320751701082501</v>
      </c>
      <c r="U28" s="33">
        <f>HLOOKUP(U$23,EIA!$27:$30,4,0)</f>
        <v>0.38320751701082501</v>
      </c>
      <c r="V28" s="33">
        <f>HLOOKUP(V$23,EIA!$27:$30,4,0)</f>
        <v>0.38320751701082501</v>
      </c>
      <c r="W28" s="33">
        <f>HLOOKUP(W$23,EIA!$27:$30,4,0)</f>
        <v>0.38320751701082501</v>
      </c>
      <c r="X28" s="33">
        <f>HLOOKUP(X$23,EIA!$27:$30,4,0)</f>
        <v>0.38320751701082501</v>
      </c>
      <c r="Y28" s="33">
        <f>HLOOKUP(Y$23,EIA!$27:$30,4,0)</f>
        <v>0.38320751701082501</v>
      </c>
      <c r="Z28" s="33">
        <f>HLOOKUP(Z$23,EIA!$27:$30,4,0)</f>
        <v>0.38320751701082501</v>
      </c>
      <c r="AA28" s="33">
        <f>HLOOKUP(AA$23,EIA!$27:$30,4,0)</f>
        <v>0.38320751701082501</v>
      </c>
      <c r="AB28" s="33">
        <f>HLOOKUP(AB$23,EIA!$27:$30,4,0)</f>
        <v>0.38320751701082501</v>
      </c>
      <c r="AC28" s="33">
        <f>HLOOKUP(AC$23,EIA!$27:$30,4,0)</f>
        <v>0.38320751701082501</v>
      </c>
      <c r="AD28" s="34">
        <f>HLOOKUP(AD$23,EIA!$27:$30,4,0)</f>
        <v>0.38320751701082501</v>
      </c>
    </row>
    <row r="29" spans="1:30" ht="37.5" customHeight="1" thickBot="1" x14ac:dyDescent="0.25">
      <c r="A29" s="99"/>
      <c r="B29" s="20" t="s">
        <v>39</v>
      </c>
      <c r="C29" s="35" t="str">
        <f>IFERROR(HLOOKUP(C$23,ATB!$G$18:$I$28,7,0),"")</f>
        <v/>
      </c>
      <c r="D29" s="38">
        <f>IFERROR(HLOOKUP(D$23,ATB!$G$18:$I$28,7,0),"")</f>
        <v>0.44</v>
      </c>
      <c r="E29" s="38" t="str">
        <f>IFERROR(HLOOKUP(E$23,ATB!$G$18:$I$28,7,0),"")</f>
        <v/>
      </c>
      <c r="F29" s="38" t="str">
        <f>IFERROR(HLOOKUP(F$23,ATB!$G$18:$I$28,7,0),"")</f>
        <v/>
      </c>
      <c r="G29" s="38" t="str">
        <f>IFERROR(HLOOKUP(G$23,ATB!$G$18:$I$28,7,0),"")</f>
        <v/>
      </c>
      <c r="H29" s="38" t="str">
        <f>IFERROR(HLOOKUP(H$23,ATB!$G$18:$I$28,7,0),"")</f>
        <v/>
      </c>
      <c r="I29" s="38" t="str">
        <f>IFERROR(HLOOKUP(I$23,ATB!$G$18:$I$28,7,0),"")</f>
        <v/>
      </c>
      <c r="J29" s="38" t="str">
        <f>IFERROR(HLOOKUP(J$23,ATB!$G$18:$I$28,7,0),"")</f>
        <v/>
      </c>
      <c r="K29" s="38" t="str">
        <f>IFERROR(HLOOKUP(K$23,ATB!$G$18:$I$28,7,0),"")</f>
        <v/>
      </c>
      <c r="L29" s="38" t="str">
        <f>IFERROR(HLOOKUP(L$23,ATB!$G$18:$I$28,7,0),"")</f>
        <v/>
      </c>
      <c r="M29" s="38" t="str">
        <f>IFERROR(HLOOKUP(M$23,ATB!$G$18:$I$28,7,0),"")</f>
        <v/>
      </c>
      <c r="N29" s="38" t="str">
        <f>IFERROR(HLOOKUP(N$23,ATB!$G$18:$I$28,7,0),"")</f>
        <v/>
      </c>
      <c r="O29" s="38" t="str">
        <f>IFERROR(HLOOKUP(O$23,ATB!$G$18:$I$28,7,0),"")</f>
        <v/>
      </c>
      <c r="P29" s="38" t="str">
        <f>IFERROR(HLOOKUP(P$23,ATB!$G$18:$I$28,7,0),"")</f>
        <v/>
      </c>
      <c r="Q29" s="38" t="str">
        <f>IFERROR(HLOOKUP(Q$23,ATB!$G$18:$I$28,7,0),"")</f>
        <v/>
      </c>
      <c r="R29" s="38" t="str">
        <f>IFERROR(HLOOKUP(R$23,ATB!$G$18:$I$28,7,0),"")</f>
        <v/>
      </c>
      <c r="S29" s="38" t="str">
        <f>IFERROR(HLOOKUP(S$23,ATB!$G$18:$I$28,7,0),"")</f>
        <v/>
      </c>
      <c r="T29" s="38">
        <f>IFERROR(HLOOKUP(T$23,ATB!$G$18:$I$28,7,0),"")</f>
        <v>0.48</v>
      </c>
      <c r="U29" s="38" t="str">
        <f>IFERROR(HLOOKUP(U$23,ATB!$G$18:$I$28,7,0),"")</f>
        <v/>
      </c>
      <c r="V29" s="38" t="str">
        <f>IFERROR(HLOOKUP(V$23,ATB!$G$18:$I$28,7,0),"")</f>
        <v/>
      </c>
      <c r="W29" s="38" t="str">
        <f>IFERROR(HLOOKUP(W$23,ATB!$G$18:$I$28,7,0),"")</f>
        <v/>
      </c>
      <c r="X29" s="38" t="str">
        <f>IFERROR(HLOOKUP(X$23,ATB!$G$18:$I$28,7,0),"")</f>
        <v/>
      </c>
      <c r="Y29" s="38" t="str">
        <f>IFERROR(HLOOKUP(Y$23,ATB!$G$18:$I$28,7,0),"")</f>
        <v/>
      </c>
      <c r="Z29" s="38" t="str">
        <f>IFERROR(HLOOKUP(Z$23,ATB!$G$18:$I$28,7,0),"")</f>
        <v/>
      </c>
      <c r="AA29" s="38" t="str">
        <f>IFERROR(HLOOKUP(AA$23,ATB!$G$18:$I$28,7,0),"")</f>
        <v/>
      </c>
      <c r="AB29" s="38" t="str">
        <f>IFERROR(HLOOKUP(AB$23,ATB!$G$18:$I$28,7,0),"")</f>
        <v/>
      </c>
      <c r="AC29" s="38" t="str">
        <f>IFERROR(HLOOKUP(AC$23,ATB!$G$18:$I$28,7,0),"")</f>
        <v/>
      </c>
      <c r="AD29" s="39" t="str">
        <f>IFERROR(HLOOKUP(AD$23,ATB!$G$18:$I$28,7,0),"")</f>
        <v/>
      </c>
    </row>
    <row r="30" spans="1:30" ht="26.1" customHeight="1" x14ac:dyDescent="0.2">
      <c r="A30" s="96" t="s">
        <v>66</v>
      </c>
      <c r="B30" s="57" t="s">
        <v>68</v>
      </c>
      <c r="C30" s="30">
        <f>HLOOKUP(C$23,EIA!$27:$31,5,0)</f>
        <v>0.19518313663346426</v>
      </c>
      <c r="D30" s="33">
        <f>HLOOKUP(D$23,EIA!$27:$31,5,0)</f>
        <v>0.19518313663346426</v>
      </c>
      <c r="E30" s="33">
        <f>HLOOKUP(E$23,EIA!$27:$31,5,0)</f>
        <v>0.19518313663346426</v>
      </c>
      <c r="F30" s="33">
        <f>HLOOKUP(F$23,EIA!$27:$31,5,0)</f>
        <v>0.19518313663346426</v>
      </c>
      <c r="G30" s="33">
        <f>HLOOKUP(G$23,EIA!$27:$31,5,0)</f>
        <v>0.19518313663346426</v>
      </c>
      <c r="H30" s="33">
        <f>HLOOKUP(H$23,EIA!$27:$31,5,0)</f>
        <v>0.19518313663346426</v>
      </c>
      <c r="I30" s="33">
        <f>HLOOKUP(I$23,EIA!$27:$31,5,0)</f>
        <v>0.19518313663346426</v>
      </c>
      <c r="J30" s="33">
        <f>HLOOKUP(J$23,EIA!$27:$31,5,0)</f>
        <v>0.19518313663346426</v>
      </c>
      <c r="K30" s="33">
        <f>HLOOKUP(K$23,EIA!$27:$31,5,0)</f>
        <v>0.19518313663346426</v>
      </c>
      <c r="L30" s="33">
        <f>HLOOKUP(L$23,EIA!$27:$31,5,0)</f>
        <v>0.19518313663346426</v>
      </c>
      <c r="M30" s="33">
        <f>HLOOKUP(M$23,EIA!$27:$31,5,0)</f>
        <v>0.19518313663346426</v>
      </c>
      <c r="N30" s="33">
        <f>HLOOKUP(N$23,EIA!$27:$31,5,0)</f>
        <v>0.19518313663346426</v>
      </c>
      <c r="O30" s="33">
        <f>HLOOKUP(O$23,EIA!$27:$31,5,0)</f>
        <v>0.19518313663346426</v>
      </c>
      <c r="P30" s="33">
        <f>HLOOKUP(P$23,EIA!$27:$31,5,0)</f>
        <v>0.19518313663346426</v>
      </c>
      <c r="Q30" s="33">
        <f>HLOOKUP(Q$23,EIA!$27:$31,5,0)</f>
        <v>0.19518313663346426</v>
      </c>
      <c r="R30" s="33">
        <f>HLOOKUP(R$23,EIA!$27:$31,5,0)</f>
        <v>0.19518313663346426</v>
      </c>
      <c r="S30" s="33">
        <f>HLOOKUP(S$23,EIA!$27:$31,5,0)</f>
        <v>0.19518313663346426</v>
      </c>
      <c r="T30" s="33">
        <f>HLOOKUP(T$23,EIA!$27:$31,5,0)</f>
        <v>0.19518313663346426</v>
      </c>
      <c r="U30" s="33">
        <f>HLOOKUP(U$23,EIA!$27:$31,5,0)</f>
        <v>0.19518313663346426</v>
      </c>
      <c r="V30" s="33">
        <f>HLOOKUP(V$23,EIA!$27:$31,5,0)</f>
        <v>0.19518313663346426</v>
      </c>
      <c r="W30" s="33">
        <f>HLOOKUP(W$23,EIA!$27:$31,5,0)</f>
        <v>0.19518313663346426</v>
      </c>
      <c r="X30" s="33">
        <f>HLOOKUP(X$23,EIA!$27:$31,5,0)</f>
        <v>0.19518313663346426</v>
      </c>
      <c r="Y30" s="33">
        <f>HLOOKUP(Y$23,EIA!$27:$31,5,0)</f>
        <v>0.19518313663346426</v>
      </c>
      <c r="Z30" s="33">
        <f>HLOOKUP(Z$23,EIA!$27:$31,5,0)</f>
        <v>0.19518313663346426</v>
      </c>
      <c r="AA30" s="33">
        <f>HLOOKUP(AA$23,EIA!$27:$31,5,0)</f>
        <v>0.19518313663346426</v>
      </c>
      <c r="AB30" s="33">
        <f>HLOOKUP(AB$23,EIA!$27:$31,5,0)</f>
        <v>0.19518313663346426</v>
      </c>
      <c r="AC30" s="33">
        <f>HLOOKUP(AC$23,EIA!$27:$31,5,0)</f>
        <v>0.19518313663346426</v>
      </c>
      <c r="AD30" s="34">
        <f>HLOOKUP(AD$23,EIA!$27:$31,5,0)</f>
        <v>0.19518313663346426</v>
      </c>
    </row>
    <row r="31" spans="1:30" ht="37.5" customHeight="1" thickBot="1" x14ac:dyDescent="0.25">
      <c r="A31" s="97"/>
      <c r="B31" s="57" t="s">
        <v>67</v>
      </c>
      <c r="C31" s="59" t="s">
        <v>74</v>
      </c>
      <c r="D31" s="38" t="s">
        <v>74</v>
      </c>
      <c r="E31" s="38" t="s">
        <v>74</v>
      </c>
      <c r="F31" s="38" t="s">
        <v>74</v>
      </c>
      <c r="G31" s="38" t="s">
        <v>74</v>
      </c>
      <c r="H31" s="38" t="s">
        <v>74</v>
      </c>
      <c r="I31" s="38" t="s">
        <v>74</v>
      </c>
      <c r="J31" s="38" t="s">
        <v>74</v>
      </c>
      <c r="K31" s="38" t="s">
        <v>74</v>
      </c>
      <c r="L31" s="38" t="s">
        <v>74</v>
      </c>
      <c r="M31" s="38" t="s">
        <v>74</v>
      </c>
      <c r="N31" s="38" t="s">
        <v>74</v>
      </c>
      <c r="O31" s="38" t="s">
        <v>74</v>
      </c>
      <c r="P31" s="38" t="s">
        <v>74</v>
      </c>
      <c r="Q31" s="38" t="s">
        <v>74</v>
      </c>
      <c r="R31" s="38" t="s">
        <v>74</v>
      </c>
      <c r="S31" s="38" t="s">
        <v>74</v>
      </c>
      <c r="T31" s="38" t="s">
        <v>74</v>
      </c>
      <c r="U31" s="38" t="s">
        <v>74</v>
      </c>
      <c r="V31" s="38" t="s">
        <v>74</v>
      </c>
      <c r="W31" s="38" t="s">
        <v>74</v>
      </c>
      <c r="X31" s="38" t="s">
        <v>74</v>
      </c>
      <c r="Y31" s="38" t="s">
        <v>74</v>
      </c>
      <c r="Z31" s="38" t="s">
        <v>74</v>
      </c>
      <c r="AA31" s="38" t="s">
        <v>74</v>
      </c>
      <c r="AB31" s="38" t="s">
        <v>74</v>
      </c>
      <c r="AC31" s="38" t="s">
        <v>74</v>
      </c>
      <c r="AD31" s="39" t="s">
        <v>74</v>
      </c>
    </row>
    <row r="33" spans="1:1" x14ac:dyDescent="0.2">
      <c r="A33" s="13" t="s">
        <v>42</v>
      </c>
    </row>
    <row r="34" spans="1:1" x14ac:dyDescent="0.2">
      <c r="A34" t="s">
        <v>45</v>
      </c>
    </row>
    <row r="35" spans="1:1" x14ac:dyDescent="0.2">
      <c r="A35" t="s">
        <v>47</v>
      </c>
    </row>
  </sheetData>
  <mergeCells count="8">
    <mergeCell ref="A30:A31"/>
    <mergeCell ref="A28:A29"/>
    <mergeCell ref="A5:A8"/>
    <mergeCell ref="A9:A10"/>
    <mergeCell ref="A11:A12"/>
    <mergeCell ref="A24:A25"/>
    <mergeCell ref="A26:A27"/>
    <mergeCell ref="A13:A1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6"/>
  <sheetViews>
    <sheetView zoomScale="70" zoomScaleNormal="70" workbookViewId="0">
      <selection activeCell="K38" sqref="K38"/>
    </sheetView>
  </sheetViews>
  <sheetFormatPr defaultRowHeight="12.75" x14ac:dyDescent="0.2"/>
  <cols>
    <col min="1" max="1" width="5.140625" customWidth="1"/>
    <col min="2" max="2" width="20.7109375" customWidth="1"/>
    <col min="3" max="30" width="10.5703125" bestFit="1" customWidth="1"/>
    <col min="31" max="39" width="9.85546875" bestFit="1" customWidth="1"/>
  </cols>
  <sheetData>
    <row r="1" spans="2:30" x14ac:dyDescent="0.2">
      <c r="B1" s="2" t="s">
        <v>31</v>
      </c>
    </row>
    <row r="2" spans="2:30" x14ac:dyDescent="0.2">
      <c r="B2" t="s">
        <v>48</v>
      </c>
    </row>
    <row r="3" spans="2:30" x14ac:dyDescent="0.2">
      <c r="B3" t="s">
        <v>49</v>
      </c>
    </row>
    <row r="5" spans="2:30" x14ac:dyDescent="0.2">
      <c r="C5" s="2" t="s">
        <v>55</v>
      </c>
    </row>
    <row r="6" spans="2:30" x14ac:dyDescent="0.2">
      <c r="B6" s="3" t="s">
        <v>0</v>
      </c>
      <c r="C6" s="3">
        <v>2013</v>
      </c>
      <c r="D6" s="3">
        <v>2014</v>
      </c>
      <c r="E6" s="3">
        <v>2015</v>
      </c>
      <c r="F6" s="3">
        <v>2016</v>
      </c>
      <c r="G6" s="3">
        <v>2017</v>
      </c>
      <c r="H6" s="3">
        <v>2018</v>
      </c>
      <c r="I6" s="3">
        <v>2019</v>
      </c>
      <c r="J6" s="3">
        <v>2020</v>
      </c>
      <c r="K6" s="3">
        <v>2021</v>
      </c>
      <c r="L6" s="3">
        <v>2022</v>
      </c>
      <c r="M6" s="3">
        <v>2023</v>
      </c>
      <c r="N6" s="3">
        <v>2024</v>
      </c>
      <c r="O6" s="3">
        <v>2025</v>
      </c>
      <c r="P6" s="3">
        <v>2026</v>
      </c>
      <c r="Q6" s="3">
        <v>2027</v>
      </c>
      <c r="R6" s="3">
        <v>2028</v>
      </c>
      <c r="S6" s="3">
        <v>2029</v>
      </c>
      <c r="T6" s="3">
        <v>2030</v>
      </c>
      <c r="U6" s="3">
        <v>2031</v>
      </c>
      <c r="V6" s="3">
        <v>2032</v>
      </c>
      <c r="W6" s="3">
        <v>2033</v>
      </c>
      <c r="X6" s="3">
        <v>2034</v>
      </c>
      <c r="Y6" s="3">
        <v>2035</v>
      </c>
      <c r="Z6" s="3">
        <v>2036</v>
      </c>
      <c r="AA6" s="3">
        <v>2037</v>
      </c>
      <c r="AB6" s="3">
        <v>2038</v>
      </c>
      <c r="AC6" s="3">
        <v>2039</v>
      </c>
      <c r="AD6" s="3">
        <v>2040</v>
      </c>
    </row>
    <row r="7" spans="2:30" ht="12.75" customHeight="1" x14ac:dyDescent="0.2">
      <c r="B7" s="5" t="s">
        <v>3</v>
      </c>
      <c r="C7" s="6">
        <v>3804.78704612602</v>
      </c>
      <c r="D7" s="6">
        <v>3547.9566844583937</v>
      </c>
      <c r="E7" s="6">
        <v>3486.9717044461431</v>
      </c>
      <c r="F7" s="6">
        <v>3363.5465828605929</v>
      </c>
      <c r="G7" s="6">
        <v>3305.3494141714509</v>
      </c>
      <c r="H7" s="6">
        <v>3280.6866208868996</v>
      </c>
      <c r="I7" s="6">
        <v>3250.695224089774</v>
      </c>
      <c r="J7" s="6">
        <v>3216.9616019250388</v>
      </c>
      <c r="K7" s="6">
        <v>3175.6283709442223</v>
      </c>
      <c r="L7" s="6">
        <v>3134.7917763646442</v>
      </c>
      <c r="M7" s="6">
        <v>3096.2979204038602</v>
      </c>
      <c r="N7" s="6">
        <v>3062.3427769666305</v>
      </c>
      <c r="O7" s="6">
        <v>3027.1022055002941</v>
      </c>
      <c r="P7" s="6">
        <v>2995.1586181342695</v>
      </c>
      <c r="Q7" s="6">
        <v>2961.2427768582884</v>
      </c>
      <c r="R7" s="6">
        <v>2927.2486061000973</v>
      </c>
      <c r="S7" s="6">
        <v>2893.1596154423896</v>
      </c>
      <c r="T7" s="6">
        <v>2859.4323146042889</v>
      </c>
      <c r="U7" s="6">
        <v>2826.4872092271326</v>
      </c>
      <c r="V7" s="6">
        <v>2791.4830004088681</v>
      </c>
      <c r="W7" s="6">
        <v>2755.7158349498513</v>
      </c>
      <c r="X7" s="6">
        <v>2720.6747975329331</v>
      </c>
      <c r="Y7" s="6">
        <v>2685.3954735859247</v>
      </c>
      <c r="Z7" s="6">
        <v>2645.9383024141043</v>
      </c>
      <c r="AA7" s="6">
        <v>2604.2013310495463</v>
      </c>
      <c r="AB7" s="6">
        <v>2581.0952331588073</v>
      </c>
      <c r="AC7" s="6">
        <v>2557.262457545392</v>
      </c>
      <c r="AD7" s="6">
        <v>2533.436278098899</v>
      </c>
    </row>
    <row r="8" spans="2:30" ht="12.75" customHeight="1" x14ac:dyDescent="0.2">
      <c r="B8" s="7" t="s">
        <v>1</v>
      </c>
      <c r="C8" s="6">
        <v>2174.6367297757233</v>
      </c>
      <c r="D8" s="6">
        <v>2201.9594067712214</v>
      </c>
      <c r="E8" s="6">
        <v>2255.584275491281</v>
      </c>
      <c r="F8" s="6">
        <v>2258.4445596127503</v>
      </c>
      <c r="G8" s="6">
        <v>2258.9751525984493</v>
      </c>
      <c r="H8" s="6">
        <v>2250.1891008692173</v>
      </c>
      <c r="I8" s="6">
        <v>2236.5244766378373</v>
      </c>
      <c r="J8" s="6">
        <v>2220.2229981718947</v>
      </c>
      <c r="K8" s="6">
        <v>2198.5882440658397</v>
      </c>
      <c r="L8" s="6">
        <v>2177.192394592179</v>
      </c>
      <c r="M8" s="6">
        <v>2157.3236693170697</v>
      </c>
      <c r="N8" s="6">
        <v>2140.5301787377398</v>
      </c>
      <c r="O8" s="6">
        <v>2122.7577515191942</v>
      </c>
      <c r="P8" s="6">
        <v>2107.2202591181576</v>
      </c>
      <c r="Q8" s="6">
        <v>2090.2190253802241</v>
      </c>
      <c r="R8" s="6">
        <v>2073.0812747094942</v>
      </c>
      <c r="S8" s="6">
        <v>2055.7923802917394</v>
      </c>
      <c r="T8" s="6">
        <v>2038.6764638509444</v>
      </c>
      <c r="U8" s="6">
        <v>2022.035600898344</v>
      </c>
      <c r="V8" s="6">
        <v>2003.8339084796221</v>
      </c>
      <c r="W8" s="6">
        <v>1984.9884242520441</v>
      </c>
      <c r="X8" s="6">
        <v>1966.5688134996035</v>
      </c>
      <c r="Y8" s="6">
        <v>1947.8782887097179</v>
      </c>
      <c r="Z8" s="6">
        <v>1929.1084823470599</v>
      </c>
      <c r="AA8" s="6">
        <v>1912.4194992954767</v>
      </c>
      <c r="AB8" s="6">
        <v>1896.6950380516967</v>
      </c>
      <c r="AC8" s="6">
        <v>1880.4210203198884</v>
      </c>
      <c r="AD8" s="6">
        <v>1864.1364683287575</v>
      </c>
    </row>
    <row r="9" spans="2:30" ht="12.75" customHeight="1" x14ac:dyDescent="0.2">
      <c r="B9" s="7" t="s">
        <v>2</v>
      </c>
      <c r="C9" s="6">
        <v>6120.9633986440849</v>
      </c>
      <c r="D9" s="6">
        <v>6181.592376419112</v>
      </c>
      <c r="E9" s="6">
        <v>6311.2773849067671</v>
      </c>
      <c r="F9" s="6">
        <v>6298.3069635810334</v>
      </c>
      <c r="G9" s="6">
        <v>6278.7142575488087</v>
      </c>
      <c r="H9" s="6">
        <v>6233.2123967350954</v>
      </c>
      <c r="I9" s="6">
        <v>6174.3137687086501</v>
      </c>
      <c r="J9" s="6">
        <v>6108.3252198338951</v>
      </c>
      <c r="K9" s="6">
        <v>6027.930212980239</v>
      </c>
      <c r="L9" s="6">
        <v>5948.5074475918664</v>
      </c>
      <c r="M9" s="6">
        <v>5873.5584333015204</v>
      </c>
      <c r="N9" s="6">
        <v>5807.2419629844007</v>
      </c>
      <c r="O9" s="6">
        <v>5738.5109729986843</v>
      </c>
      <c r="P9" s="6">
        <v>5676.0522607919575</v>
      </c>
      <c r="Q9" s="6">
        <v>5609.8764654127772</v>
      </c>
      <c r="R9" s="6">
        <v>5543.574878792163</v>
      </c>
      <c r="S9" s="6">
        <v>5477.116293179376</v>
      </c>
      <c r="T9" s="6">
        <v>5411.3663635679513</v>
      </c>
      <c r="U9" s="6">
        <v>5347.1206475420731</v>
      </c>
      <c r="V9" s="6">
        <v>5279.0022897092958</v>
      </c>
      <c r="W9" s="6">
        <v>5209.4680602315211</v>
      </c>
      <c r="X9" s="6">
        <v>5141.333858463754</v>
      </c>
      <c r="Y9" s="6">
        <v>5072.7761915244419</v>
      </c>
      <c r="Z9" s="6">
        <v>5004.3011050947734</v>
      </c>
      <c r="AA9" s="6">
        <v>4941.4947865567547</v>
      </c>
      <c r="AB9" s="6">
        <v>4881.4222669833389</v>
      </c>
      <c r="AC9" s="6">
        <v>4820.1748956244683</v>
      </c>
      <c r="AD9" s="6">
        <v>4759.1464586400016</v>
      </c>
    </row>
    <row r="10" spans="2:30" ht="21.95" customHeight="1" x14ac:dyDescent="0.2">
      <c r="B10" s="55" t="s">
        <v>66</v>
      </c>
      <c r="C10" s="6">
        <v>4978.6255779515623</v>
      </c>
      <c r="D10" s="6">
        <v>4703.5629378172243</v>
      </c>
      <c r="E10" s="6">
        <v>3862.9148914881671</v>
      </c>
      <c r="F10" s="6">
        <v>3853.6312063545624</v>
      </c>
      <c r="G10" s="6">
        <v>3840.2867893876851</v>
      </c>
      <c r="H10" s="6">
        <v>3811.0951334757774</v>
      </c>
      <c r="I10" s="6">
        <v>3773.7202455689649</v>
      </c>
      <c r="J10" s="6">
        <v>3732.0242604393288</v>
      </c>
      <c r="K10" s="6">
        <v>3681.5438710061717</v>
      </c>
      <c r="L10" s="6">
        <v>3631.6775322309954</v>
      </c>
      <c r="M10" s="6">
        <v>3584.5627761008154</v>
      </c>
      <c r="N10" s="6">
        <v>3542.7336233586052</v>
      </c>
      <c r="O10" s="6">
        <v>3499.447025078779</v>
      </c>
      <c r="P10" s="6">
        <v>3460.0006409763705</v>
      </c>
      <c r="Q10" s="6">
        <v>3418.3032858095676</v>
      </c>
      <c r="R10" s="6">
        <v>3376.5459230148763</v>
      </c>
      <c r="S10" s="6">
        <v>3334.7093720719677</v>
      </c>
      <c r="T10" s="6">
        <v>3293.3208232824713</v>
      </c>
      <c r="U10" s="6">
        <v>3252.8638997661265</v>
      </c>
      <c r="V10" s="6">
        <v>3210.0688708216044</v>
      </c>
      <c r="W10" s="6">
        <v>3166.4318170346132</v>
      </c>
      <c r="X10" s="6">
        <v>3123.6652848631525</v>
      </c>
      <c r="Y10" s="6">
        <v>3080.6606402321713</v>
      </c>
      <c r="Z10" s="6">
        <v>3037.7261415041094</v>
      </c>
      <c r="AA10" s="6">
        <v>2998.2515346360728</v>
      </c>
      <c r="AB10" s="6">
        <v>2960.4524832225438</v>
      </c>
      <c r="AC10" s="6">
        <v>2921.9574529284828</v>
      </c>
      <c r="AD10" s="6">
        <v>2883.6123047004266</v>
      </c>
    </row>
    <row r="13" spans="2:30" x14ac:dyDescent="0.2">
      <c r="B13" s="8" t="s">
        <v>54</v>
      </c>
      <c r="C13" s="9">
        <v>1.0328394654986968</v>
      </c>
    </row>
    <row r="15" spans="2:30" x14ac:dyDescent="0.2">
      <c r="C15" s="2" t="s">
        <v>30</v>
      </c>
    </row>
    <row r="16" spans="2:30" x14ac:dyDescent="0.2">
      <c r="B16" s="3" t="s">
        <v>0</v>
      </c>
      <c r="C16" s="3">
        <v>2013</v>
      </c>
      <c r="D16" s="3">
        <v>2014</v>
      </c>
      <c r="E16" s="3">
        <v>2015</v>
      </c>
      <c r="F16" s="3">
        <v>2016</v>
      </c>
      <c r="G16" s="3">
        <v>2017</v>
      </c>
      <c r="H16" s="3">
        <v>2018</v>
      </c>
      <c r="I16" s="3">
        <v>2019</v>
      </c>
      <c r="J16" s="3">
        <v>2020</v>
      </c>
      <c r="K16" s="3">
        <v>2021</v>
      </c>
      <c r="L16" s="3">
        <v>2022</v>
      </c>
      <c r="M16" s="3">
        <v>2023</v>
      </c>
      <c r="N16" s="3">
        <v>2024</v>
      </c>
      <c r="O16" s="3">
        <v>2025</v>
      </c>
      <c r="P16" s="3">
        <v>2026</v>
      </c>
      <c r="Q16" s="3">
        <v>2027</v>
      </c>
      <c r="R16" s="3">
        <v>2028</v>
      </c>
      <c r="S16" s="3">
        <v>2029</v>
      </c>
      <c r="T16" s="3">
        <v>2030</v>
      </c>
      <c r="U16" s="3">
        <v>2031</v>
      </c>
      <c r="V16" s="3">
        <v>2032</v>
      </c>
      <c r="W16" s="3">
        <v>2033</v>
      </c>
      <c r="X16" s="3">
        <v>2034</v>
      </c>
      <c r="Y16" s="3">
        <v>2035</v>
      </c>
      <c r="Z16" s="3">
        <v>2036</v>
      </c>
      <c r="AA16" s="3">
        <v>2037</v>
      </c>
      <c r="AB16" s="3">
        <v>2038</v>
      </c>
      <c r="AC16" s="3">
        <v>2039</v>
      </c>
      <c r="AD16" s="3">
        <v>2040</v>
      </c>
    </row>
    <row r="17" spans="2:30" ht="12.75" customHeight="1" x14ac:dyDescent="0.2">
      <c r="B17" s="5" t="s">
        <v>3</v>
      </c>
      <c r="C17" s="6">
        <f>C7*$C$13</f>
        <v>3929.734219057164</v>
      </c>
      <c r="D17" s="6">
        <f t="shared" ref="D17:AD17" si="0">D7*$C$13</f>
        <v>3664.4696855885359</v>
      </c>
      <c r="E17" s="6">
        <f t="shared" si="0"/>
        <v>3601.4819914292339</v>
      </c>
      <c r="F17" s="6">
        <f t="shared" si="0"/>
        <v>3474.0036548217026</v>
      </c>
      <c r="G17" s="6">
        <f t="shared" si="0"/>
        <v>3413.8953222192717</v>
      </c>
      <c r="H17" s="6">
        <f t="shared" si="0"/>
        <v>3388.4226159855511</v>
      </c>
      <c r="I17" s="6">
        <f t="shared" si="0"/>
        <v>3357.4463177480484</v>
      </c>
      <c r="J17" s="6">
        <f t="shared" si="0"/>
        <v>3322.6049014620885</v>
      </c>
      <c r="K17" s="6">
        <f t="shared" si="0"/>
        <v>3279.9143092685276</v>
      </c>
      <c r="L17" s="6">
        <f t="shared" si="0"/>
        <v>3237.7366627501692</v>
      </c>
      <c r="M17" s="6">
        <f t="shared" si="0"/>
        <v>3197.9786891346494</v>
      </c>
      <c r="N17" s="6">
        <f t="shared" si="0"/>
        <v>3162.9084769360093</v>
      </c>
      <c r="O17" s="6">
        <f t="shared" si="0"/>
        <v>3126.5106239388497</v>
      </c>
      <c r="P17" s="6">
        <f t="shared" si="0"/>
        <v>3093.5180262376143</v>
      </c>
      <c r="Q17" s="6">
        <f t="shared" si="0"/>
        <v>3058.4884068621909</v>
      </c>
      <c r="R17" s="6">
        <f t="shared" si="0"/>
        <v>3023.3778857062298</v>
      </c>
      <c r="S17" s="6">
        <f t="shared" si="0"/>
        <v>2988.1694308159326</v>
      </c>
      <c r="T17" s="6">
        <f t="shared" si="0"/>
        <v>2953.334543445595</v>
      </c>
      <c r="U17" s="6">
        <f t="shared" si="0"/>
        <v>2919.3075384170547</v>
      </c>
      <c r="V17" s="6">
        <f t="shared" si="0"/>
        <v>2883.1538100909938</v>
      </c>
      <c r="W17" s="6">
        <f t="shared" si="0"/>
        <v>2846.2120700358992</v>
      </c>
      <c r="X17" s="6">
        <f t="shared" si="0"/>
        <v>2810.0203036796897</v>
      </c>
      <c r="Y17" s="6">
        <f t="shared" si="0"/>
        <v>2773.5824255911061</v>
      </c>
      <c r="Z17" s="6">
        <f t="shared" si="0"/>
        <v>2732.8295020079127</v>
      </c>
      <c r="AA17" s="6">
        <f t="shared" si="0"/>
        <v>2689.7219108122081</v>
      </c>
      <c r="AB17" s="6">
        <f t="shared" si="0"/>
        <v>2665.8570210169769</v>
      </c>
      <c r="AC17" s="6">
        <f t="shared" si="0"/>
        <v>2641.2415897910664</v>
      </c>
      <c r="AD17" s="6">
        <f t="shared" si="0"/>
        <v>2616.6329713466744</v>
      </c>
    </row>
    <row r="18" spans="2:30" ht="12.75" customHeight="1" x14ac:dyDescent="0.2">
      <c r="B18" s="7" t="s">
        <v>1</v>
      </c>
      <c r="C18" s="6">
        <f t="shared" ref="C18:AD18" si="1">C8*$C$13</f>
        <v>2246.0506376353919</v>
      </c>
      <c r="D18" s="6">
        <f t="shared" si="1"/>
        <v>2274.2705767394159</v>
      </c>
      <c r="E18" s="6">
        <f t="shared" si="1"/>
        <v>2329.6564574856798</v>
      </c>
      <c r="F18" s="6">
        <f t="shared" si="1"/>
        <v>2332.6106718088727</v>
      </c>
      <c r="G18" s="6">
        <f t="shared" si="1"/>
        <v>2333.1586891846196</v>
      </c>
      <c r="H18" s="6">
        <f t="shared" si="1"/>
        <v>2324.0841082127554</v>
      </c>
      <c r="I18" s="6">
        <f t="shared" si="1"/>
        <v>2309.9707450253763</v>
      </c>
      <c r="J18" s="6">
        <f t="shared" si="1"/>
        <v>2293.1339347197736</v>
      </c>
      <c r="K18" s="6">
        <f t="shared" si="1"/>
        <v>2270.7887068526802</v>
      </c>
      <c r="L18" s="6">
        <f t="shared" si="1"/>
        <v>2248.6902291184138</v>
      </c>
      <c r="M18" s="6">
        <f t="shared" si="1"/>
        <v>2228.1690255251297</v>
      </c>
      <c r="N18" s="6">
        <f t="shared" si="1"/>
        <v>2210.8240456913172</v>
      </c>
      <c r="O18" s="6">
        <f t="shared" si="1"/>
        <v>2192.4679814623</v>
      </c>
      <c r="P18" s="6">
        <f t="shared" si="1"/>
        <v>2176.4202461156233</v>
      </c>
      <c r="Q18" s="6">
        <f t="shared" si="1"/>
        <v>2158.8607009489174</v>
      </c>
      <c r="R18" s="6">
        <f t="shared" si="1"/>
        <v>2141.1601557063109</v>
      </c>
      <c r="S18" s="6">
        <f t="shared" si="1"/>
        <v>2123.3035032368139</v>
      </c>
      <c r="T18" s="6">
        <f t="shared" si="1"/>
        <v>2105.6255092485826</v>
      </c>
      <c r="U18" s="6">
        <f t="shared" si="1"/>
        <v>2088.4381692511815</v>
      </c>
      <c r="V18" s="6">
        <f t="shared" si="1"/>
        <v>2069.6387429822576</v>
      </c>
      <c r="W18" s="6">
        <f t="shared" si="1"/>
        <v>2050.1743831255817</v>
      </c>
      <c r="X18" s="6">
        <f t="shared" si="1"/>
        <v>2031.1498822013368</v>
      </c>
      <c r="Y18" s="6">
        <f t="shared" si="1"/>
        <v>2011.8455705674612</v>
      </c>
      <c r="Z18" s="6">
        <f t="shared" si="1"/>
        <v>1992.4593737963394</v>
      </c>
      <c r="AA18" s="6">
        <f t="shared" si="1"/>
        <v>1975.2223334616256</v>
      </c>
      <c r="AB18" s="6">
        <f t="shared" si="1"/>
        <v>1958.9814893153448</v>
      </c>
      <c r="AC18" s="6">
        <f t="shared" si="1"/>
        <v>1942.1730415397076</v>
      </c>
      <c r="AD18" s="6">
        <f t="shared" si="1"/>
        <v>1925.3537135653021</v>
      </c>
    </row>
    <row r="19" spans="2:30" ht="12.75" customHeight="1" x14ac:dyDescent="0.2">
      <c r="B19" s="7" t="s">
        <v>2</v>
      </c>
      <c r="C19" s="6">
        <f t="shared" ref="C19:AD20" si="2">C9*$C$13</f>
        <v>6321.9725649926431</v>
      </c>
      <c r="D19" s="6">
        <f t="shared" si="2"/>
        <v>6384.5925659915347</v>
      </c>
      <c r="E19" s="6">
        <f t="shared" si="2"/>
        <v>6518.536360841118</v>
      </c>
      <c r="F19" s="6">
        <f t="shared" si="2"/>
        <v>6505.1399978117543</v>
      </c>
      <c r="G19" s="6">
        <f t="shared" si="2"/>
        <v>6484.9038777857586</v>
      </c>
      <c r="H19" s="6">
        <f t="shared" si="2"/>
        <v>6437.9077601837262</v>
      </c>
      <c r="I19" s="6">
        <f t="shared" si="2"/>
        <v>6377.074932694286</v>
      </c>
      <c r="J19" s="6">
        <f t="shared" si="2"/>
        <v>6308.91935514545</v>
      </c>
      <c r="K19" s="6">
        <f t="shared" si="2"/>
        <v>6225.8842192379552</v>
      </c>
      <c r="L19" s="6">
        <f t="shared" si="2"/>
        <v>6143.8532526857998</v>
      </c>
      <c r="M19" s="6">
        <f t="shared" si="2"/>
        <v>6066.4429528265055</v>
      </c>
      <c r="N19" s="6">
        <f t="shared" si="2"/>
        <v>5997.9486850704106</v>
      </c>
      <c r="O19" s="6">
        <f t="shared" si="2"/>
        <v>5926.9606061103677</v>
      </c>
      <c r="P19" s="6">
        <f t="shared" si="2"/>
        <v>5862.4507831790343</v>
      </c>
      <c r="Q19" s="6">
        <f t="shared" si="2"/>
        <v>5794.1018100506508</v>
      </c>
      <c r="R19" s="6">
        <f t="shared" si="2"/>
        <v>5725.6229147637005</v>
      </c>
      <c r="S19" s="6">
        <f t="shared" si="2"/>
        <v>5656.9818647215898</v>
      </c>
      <c r="T19" s="6">
        <f t="shared" si="2"/>
        <v>5589.0727425651494</v>
      </c>
      <c r="U19" s="6">
        <f t="shared" si="2"/>
        <v>5522.7172315644002</v>
      </c>
      <c r="V19" s="6">
        <f t="shared" si="2"/>
        <v>5452.3619032697452</v>
      </c>
      <c r="W19" s="6">
        <f t="shared" si="2"/>
        <v>5380.5442068620569</v>
      </c>
      <c r="X19" s="6">
        <f t="shared" si="2"/>
        <v>5310.1725143260564</v>
      </c>
      <c r="Y19" s="6">
        <f t="shared" si="2"/>
        <v>5239.3634502486193</v>
      </c>
      <c r="Z19" s="6">
        <f t="shared" si="2"/>
        <v>5168.6396785806237</v>
      </c>
      <c r="AA19" s="6">
        <f t="shared" si="2"/>
        <v>5103.770834111875</v>
      </c>
      <c r="AB19" s="6">
        <f t="shared" si="2"/>
        <v>5041.725565104508</v>
      </c>
      <c r="AC19" s="6">
        <f t="shared" si="2"/>
        <v>4978.4668628070121</v>
      </c>
      <c r="AD19" s="6">
        <f t="shared" si="2"/>
        <v>4915.4342845717547</v>
      </c>
    </row>
    <row r="20" spans="2:30" ht="21.95" customHeight="1" x14ac:dyDescent="0.2">
      <c r="B20" s="55" t="s">
        <v>66</v>
      </c>
      <c r="C20" s="6">
        <f t="shared" si="2"/>
        <v>5142.1209808496315</v>
      </c>
      <c r="D20" s="6">
        <f t="shared" si="2"/>
        <v>4858.0254306346214</v>
      </c>
      <c r="E20" s="6">
        <f t="shared" si="2"/>
        <v>3989.7709517915946</v>
      </c>
      <c r="F20" s="6">
        <f t="shared" si="2"/>
        <v>3980.1823954003444</v>
      </c>
      <c r="G20" s="6">
        <f t="shared" si="2"/>
        <v>3966.3997549128831</v>
      </c>
      <c r="H20" s="6">
        <f t="shared" si="2"/>
        <v>3936.2494606238065</v>
      </c>
      <c r="I20" s="6">
        <f t="shared" si="2"/>
        <v>3897.6472013750604</v>
      </c>
      <c r="J20" s="6">
        <f t="shared" si="2"/>
        <v>3854.5819423803255</v>
      </c>
      <c r="K20" s="6">
        <f t="shared" si="2"/>
        <v>3802.4438039400175</v>
      </c>
      <c r="L20" s="6">
        <f t="shared" si="2"/>
        <v>3750.9398812530876</v>
      </c>
      <c r="M20" s="6">
        <f t="shared" si="2"/>
        <v>3702.2779017144908</v>
      </c>
      <c r="N20" s="6">
        <f t="shared" si="2"/>
        <v>3659.075101953963</v>
      </c>
      <c r="O20" s="6">
        <f t="shared" si="2"/>
        <v>3614.3669949233704</v>
      </c>
      <c r="P20" s="6">
        <f t="shared" si="2"/>
        <v>3573.6252126511827</v>
      </c>
      <c r="Q20" s="6">
        <f t="shared" si="2"/>
        <v>3530.5585386279927</v>
      </c>
      <c r="R20" s="6">
        <f t="shared" si="2"/>
        <v>3487.4298863584886</v>
      </c>
      <c r="S20" s="6">
        <f t="shared" si="2"/>
        <v>3444.2194454443056</v>
      </c>
      <c r="T20" s="6">
        <f t="shared" si="2"/>
        <v>3401.4717188347959</v>
      </c>
      <c r="U20" s="6">
        <f t="shared" si="2"/>
        <v>3359.6862115744525</v>
      </c>
      <c r="V20" s="6">
        <f t="shared" si="2"/>
        <v>3315.4858167533907</v>
      </c>
      <c r="W20" s="6">
        <f t="shared" si="2"/>
        <v>3270.415745444097</v>
      </c>
      <c r="X20" s="6">
        <f t="shared" si="2"/>
        <v>3226.2447832148928</v>
      </c>
      <c r="Y20" s="6">
        <f t="shared" si="2"/>
        <v>3181.8278890402689</v>
      </c>
      <c r="Z20" s="6">
        <f t="shared" si="2"/>
        <v>3137.4834443225227</v>
      </c>
      <c r="AA20" s="6">
        <f t="shared" si="2"/>
        <v>3096.7125124641689</v>
      </c>
      <c r="AB20" s="6">
        <f t="shared" si="2"/>
        <v>3057.6721604058616</v>
      </c>
      <c r="AC20" s="6">
        <f t="shared" si="2"/>
        <v>3017.9129738925876</v>
      </c>
      <c r="AD20" s="6">
        <f t="shared" si="2"/>
        <v>2978.308591492254</v>
      </c>
    </row>
    <row r="21" spans="2:30" ht="15" x14ac:dyDescent="0.25">
      <c r="C21" s="1"/>
    </row>
    <row r="22" spans="2:30" ht="15" x14ac:dyDescent="0.25">
      <c r="B22" s="14" t="s">
        <v>26</v>
      </c>
      <c r="C22" s="1"/>
    </row>
    <row r="23" spans="2:30" ht="15" x14ac:dyDescent="0.25">
      <c r="B23" t="s">
        <v>34</v>
      </c>
      <c r="C23" s="1"/>
    </row>
    <row r="24" spans="2:30" ht="15" x14ac:dyDescent="0.25">
      <c r="C24" s="1"/>
    </row>
    <row r="25" spans="2:30" ht="15" x14ac:dyDescent="0.25">
      <c r="C25" s="1"/>
    </row>
    <row r="26" spans="2:30" x14ac:dyDescent="0.2">
      <c r="C26" s="2" t="s">
        <v>9</v>
      </c>
    </row>
    <row r="27" spans="2:30" x14ac:dyDescent="0.2">
      <c r="B27" s="3" t="s">
        <v>0</v>
      </c>
      <c r="C27" s="3">
        <v>2013</v>
      </c>
      <c r="D27" s="3">
        <v>2014</v>
      </c>
      <c r="E27" s="3">
        <v>2015</v>
      </c>
      <c r="F27" s="3">
        <v>2016</v>
      </c>
      <c r="G27" s="3">
        <v>2017</v>
      </c>
      <c r="H27" s="3">
        <v>2018</v>
      </c>
      <c r="I27" s="3">
        <v>2019</v>
      </c>
      <c r="J27" s="3">
        <v>2020</v>
      </c>
      <c r="K27" s="3">
        <v>2021</v>
      </c>
      <c r="L27" s="3">
        <v>2022</v>
      </c>
      <c r="M27" s="3">
        <v>2023</v>
      </c>
      <c r="N27" s="3">
        <v>2024</v>
      </c>
      <c r="O27" s="3">
        <v>2025</v>
      </c>
      <c r="P27" s="3">
        <v>2026</v>
      </c>
      <c r="Q27" s="3">
        <v>2027</v>
      </c>
      <c r="R27" s="3">
        <v>2028</v>
      </c>
      <c r="S27" s="3">
        <v>2029</v>
      </c>
      <c r="T27" s="3">
        <v>2030</v>
      </c>
      <c r="U27" s="3">
        <v>2031</v>
      </c>
      <c r="V27" s="3">
        <v>2032</v>
      </c>
      <c r="W27" s="3">
        <v>2033</v>
      </c>
      <c r="X27" s="3">
        <v>2034</v>
      </c>
      <c r="Y27" s="3">
        <v>2035</v>
      </c>
      <c r="Z27" s="3">
        <v>2036</v>
      </c>
      <c r="AA27" s="3">
        <v>2037</v>
      </c>
      <c r="AB27" s="3">
        <v>2038</v>
      </c>
      <c r="AC27" s="3">
        <v>2039</v>
      </c>
      <c r="AD27" s="3">
        <v>2040</v>
      </c>
    </row>
    <row r="28" spans="2:30" ht="12.75" customHeight="1" x14ac:dyDescent="0.2">
      <c r="B28" s="5" t="s">
        <v>3</v>
      </c>
      <c r="C28" s="27">
        <v>0.25005245421613964</v>
      </c>
      <c r="D28" s="27">
        <v>0.25005245421613964</v>
      </c>
      <c r="E28" s="27">
        <v>0.25005245421613964</v>
      </c>
      <c r="F28" s="27">
        <v>0.25005245421613964</v>
      </c>
      <c r="G28" s="27">
        <v>0.25005245421613964</v>
      </c>
      <c r="H28" s="27">
        <v>0.25005245421613964</v>
      </c>
      <c r="I28" s="27">
        <v>0.25005245421613964</v>
      </c>
      <c r="J28" s="27">
        <v>0.25005245421613964</v>
      </c>
      <c r="K28" s="27">
        <v>0.25005245421613964</v>
      </c>
      <c r="L28" s="27">
        <v>0.25005245421613964</v>
      </c>
      <c r="M28" s="27">
        <v>0.25005245421613964</v>
      </c>
      <c r="N28" s="27">
        <v>0.25005245421613964</v>
      </c>
      <c r="O28" s="27">
        <v>0.25005245421613964</v>
      </c>
      <c r="P28" s="27">
        <v>0.25005245421613964</v>
      </c>
      <c r="Q28" s="27">
        <v>0.25005245421613964</v>
      </c>
      <c r="R28" s="27">
        <v>0.25005245421613964</v>
      </c>
      <c r="S28" s="27">
        <v>0.25005245421613964</v>
      </c>
      <c r="T28" s="27">
        <v>0.25005245421613964</v>
      </c>
      <c r="U28" s="27">
        <v>0.25005245421613964</v>
      </c>
      <c r="V28" s="27">
        <v>0.25005245421613964</v>
      </c>
      <c r="W28" s="27">
        <v>0.25005245421613964</v>
      </c>
      <c r="X28" s="27">
        <v>0.25005245421613964</v>
      </c>
      <c r="Y28" s="27">
        <v>0.25005245421613964</v>
      </c>
      <c r="Z28" s="27">
        <v>0.25005245421613964</v>
      </c>
      <c r="AA28" s="27">
        <v>0.25005245421613964</v>
      </c>
      <c r="AB28" s="27">
        <v>0.25005245421613964</v>
      </c>
      <c r="AC28" s="27">
        <v>0.25005245421613964</v>
      </c>
      <c r="AD28" s="27">
        <v>0.25005245421613964</v>
      </c>
    </row>
    <row r="29" spans="2:30" ht="42.75" customHeight="1" x14ac:dyDescent="0.2">
      <c r="B29" s="7" t="s">
        <v>40</v>
      </c>
      <c r="C29" s="28">
        <v>0.33387574147094379</v>
      </c>
      <c r="D29" s="28">
        <v>0.34342971173199738</v>
      </c>
      <c r="E29" s="28">
        <v>0.34165014462037518</v>
      </c>
      <c r="F29" s="28">
        <v>0.34194594892588531</v>
      </c>
      <c r="G29" s="28">
        <v>0.3419653651389209</v>
      </c>
      <c r="H29" s="28">
        <v>0.34198071468960156</v>
      </c>
      <c r="I29" s="28">
        <v>0.34198131209070032</v>
      </c>
      <c r="J29" s="28">
        <v>0.34198192168365826</v>
      </c>
      <c r="K29" s="28">
        <v>0.34199301085688849</v>
      </c>
      <c r="L29" s="28">
        <v>0.34263193336400116</v>
      </c>
      <c r="M29" s="28">
        <v>0.34288618374954571</v>
      </c>
      <c r="N29" s="28">
        <v>0.34290776740420947</v>
      </c>
      <c r="O29" s="28">
        <v>0.34301911836320703</v>
      </c>
      <c r="P29" s="28">
        <v>0.34307157315991144</v>
      </c>
      <c r="Q29" s="28">
        <v>0.34387259727174585</v>
      </c>
      <c r="R29" s="28">
        <v>0.34571105648170819</v>
      </c>
      <c r="S29" s="28">
        <v>0.34188466180454602</v>
      </c>
      <c r="T29" s="28">
        <v>0.34004939957098529</v>
      </c>
      <c r="U29" s="28">
        <v>0.33850016648119147</v>
      </c>
      <c r="V29" s="28">
        <v>0.33683030713688245</v>
      </c>
      <c r="W29" s="28">
        <v>0.33710837228731677</v>
      </c>
      <c r="X29" s="28">
        <v>0.33626948161558673</v>
      </c>
      <c r="Y29" s="28">
        <v>0.3375137610868974</v>
      </c>
      <c r="Z29" s="28">
        <v>0.33687677844004199</v>
      </c>
      <c r="AA29" s="28">
        <v>0.33833660998127679</v>
      </c>
      <c r="AB29" s="28">
        <v>0.33982878246090631</v>
      </c>
      <c r="AC29" s="28">
        <v>0.33912792530926789</v>
      </c>
      <c r="AD29" s="28">
        <v>0.34030068462545221</v>
      </c>
    </row>
    <row r="30" spans="2:30" ht="12.75" customHeight="1" x14ac:dyDescent="0.2">
      <c r="B30" s="7" t="s">
        <v>41</v>
      </c>
      <c r="C30" s="29">
        <v>0.38320751701082501</v>
      </c>
      <c r="D30" s="29">
        <v>0.38320751701082501</v>
      </c>
      <c r="E30" s="29">
        <v>0.38320751701082501</v>
      </c>
      <c r="F30" s="29">
        <v>0.38320751701082501</v>
      </c>
      <c r="G30" s="29">
        <v>0.38320751701082501</v>
      </c>
      <c r="H30" s="29">
        <v>0.38320751701082501</v>
      </c>
      <c r="I30" s="29">
        <v>0.38320751701082501</v>
      </c>
      <c r="J30" s="29">
        <v>0.38320751701082501</v>
      </c>
      <c r="K30" s="29">
        <v>0.38320751701082501</v>
      </c>
      <c r="L30" s="29">
        <v>0.38320751701082501</v>
      </c>
      <c r="M30" s="29">
        <v>0.38320751701082501</v>
      </c>
      <c r="N30" s="29">
        <v>0.38320751701082501</v>
      </c>
      <c r="O30" s="29">
        <v>0.38320751701082501</v>
      </c>
      <c r="P30" s="29">
        <v>0.38320751701082501</v>
      </c>
      <c r="Q30" s="29">
        <v>0.38320751701082501</v>
      </c>
      <c r="R30" s="29">
        <v>0.38320751701082501</v>
      </c>
      <c r="S30" s="29">
        <v>0.38320751701082501</v>
      </c>
      <c r="T30" s="29">
        <v>0.38320751701082501</v>
      </c>
      <c r="U30" s="29">
        <v>0.38320751701082501</v>
      </c>
      <c r="V30" s="29">
        <v>0.38320751701082501</v>
      </c>
      <c r="W30" s="29">
        <v>0.38320751701082501</v>
      </c>
      <c r="X30" s="29">
        <v>0.38320751701082501</v>
      </c>
      <c r="Y30" s="29">
        <v>0.38320751701082501</v>
      </c>
      <c r="Z30" s="29">
        <v>0.38320751701082501</v>
      </c>
      <c r="AA30" s="29">
        <v>0.38320751701082501</v>
      </c>
      <c r="AB30" s="29">
        <v>0.38320751701082501</v>
      </c>
      <c r="AC30" s="29">
        <v>0.38320751701082501</v>
      </c>
      <c r="AD30" s="29">
        <v>0.38320751701082501</v>
      </c>
    </row>
    <row r="31" spans="2:30" ht="12.75" customHeight="1" x14ac:dyDescent="0.2">
      <c r="B31" s="55" t="s">
        <v>66</v>
      </c>
      <c r="C31" s="58">
        <v>0.19518313663346426</v>
      </c>
      <c r="D31" s="58">
        <v>0.19518313663346426</v>
      </c>
      <c r="E31" s="58">
        <v>0.19518313663346426</v>
      </c>
      <c r="F31" s="58">
        <v>0.19518313663346426</v>
      </c>
      <c r="G31" s="58">
        <v>0.19518313663346426</v>
      </c>
      <c r="H31" s="58">
        <v>0.19518313663346426</v>
      </c>
      <c r="I31" s="58">
        <v>0.19518313663346426</v>
      </c>
      <c r="J31" s="58">
        <v>0.19518313663346426</v>
      </c>
      <c r="K31" s="58">
        <v>0.19518313663346426</v>
      </c>
      <c r="L31" s="58">
        <v>0.19518313663346426</v>
      </c>
      <c r="M31" s="58">
        <v>0.19518313663346426</v>
      </c>
      <c r="N31" s="58">
        <v>0.19518313663346426</v>
      </c>
      <c r="O31" s="58">
        <v>0.19518313663346426</v>
      </c>
      <c r="P31" s="58">
        <v>0.19518313663346426</v>
      </c>
      <c r="Q31" s="58">
        <v>0.19518313663346426</v>
      </c>
      <c r="R31" s="58">
        <v>0.19518313663346426</v>
      </c>
      <c r="S31" s="58">
        <v>0.19518313663346426</v>
      </c>
      <c r="T31" s="58">
        <v>0.19518313663346426</v>
      </c>
      <c r="U31" s="58">
        <v>0.19518313663346426</v>
      </c>
      <c r="V31" s="58">
        <v>0.19518313663346426</v>
      </c>
      <c r="W31" s="58">
        <v>0.19518313663346426</v>
      </c>
      <c r="X31" s="58">
        <v>0.19518313663346426</v>
      </c>
      <c r="Y31" s="58">
        <v>0.19518313663346426</v>
      </c>
      <c r="Z31" s="58">
        <v>0.19518313663346426</v>
      </c>
      <c r="AA31" s="58">
        <v>0.19518313663346426</v>
      </c>
      <c r="AB31" s="58">
        <v>0.19518313663346426</v>
      </c>
      <c r="AC31" s="58">
        <v>0.19518313663346426</v>
      </c>
      <c r="AD31" s="58">
        <v>0.19518313663346426</v>
      </c>
    </row>
    <row r="32" spans="2:30" ht="15" x14ac:dyDescent="0.25">
      <c r="C32" s="1"/>
    </row>
    <row r="33" spans="1:3" ht="15" x14ac:dyDescent="0.25">
      <c r="B33" t="s">
        <v>42</v>
      </c>
      <c r="C33" s="1"/>
    </row>
    <row r="34" spans="1:3" ht="15" x14ac:dyDescent="0.25">
      <c r="A34">
        <v>1</v>
      </c>
      <c r="B34" t="s">
        <v>43</v>
      </c>
      <c r="C34" s="1"/>
    </row>
    <row r="35" spans="1:3" ht="15" x14ac:dyDescent="0.25">
      <c r="A35">
        <v>2</v>
      </c>
      <c r="B35" t="s">
        <v>44</v>
      </c>
      <c r="C35" s="1"/>
    </row>
    <row r="36" spans="1:3" ht="15" x14ac:dyDescent="0.25">
      <c r="A36">
        <v>3</v>
      </c>
      <c r="B36" t="s">
        <v>72</v>
      </c>
      <c r="C36" s="1"/>
    </row>
    <row r="37" spans="1:3" ht="15" x14ac:dyDescent="0.25">
      <c r="C37" s="1"/>
    </row>
    <row r="38" spans="1:3" ht="15" x14ac:dyDescent="0.25">
      <c r="C38" s="1"/>
    </row>
    <row r="39" spans="1:3" ht="15" x14ac:dyDescent="0.25">
      <c r="C39" s="1"/>
    </row>
    <row r="40" spans="1:3" ht="15" x14ac:dyDescent="0.25">
      <c r="C40" s="1"/>
    </row>
    <row r="41" spans="1:3" ht="15" x14ac:dyDescent="0.25">
      <c r="C41" s="1"/>
    </row>
    <row r="42" spans="1:3" ht="15" x14ac:dyDescent="0.25">
      <c r="C42" s="1"/>
    </row>
    <row r="43" spans="1:3" ht="15" x14ac:dyDescent="0.25">
      <c r="C43" s="1"/>
    </row>
    <row r="44" spans="1:3" ht="15" x14ac:dyDescent="0.25">
      <c r="C44" s="1"/>
    </row>
    <row r="45" spans="1:3" ht="15" x14ac:dyDescent="0.25">
      <c r="C45" s="1"/>
    </row>
    <row r="46" spans="1:3" ht="15" x14ac:dyDescent="0.25">
      <c r="C4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M55"/>
  <sheetViews>
    <sheetView zoomScale="70" zoomScaleNormal="70" workbookViewId="0">
      <selection activeCell="B50" sqref="B50"/>
    </sheetView>
  </sheetViews>
  <sheetFormatPr defaultRowHeight="12.75" x14ac:dyDescent="0.2"/>
  <cols>
    <col min="1" max="1" width="5" customWidth="1"/>
    <col min="4" max="6" width="10.42578125" bestFit="1" customWidth="1"/>
    <col min="7" max="13" width="10.28515625" bestFit="1" customWidth="1"/>
  </cols>
  <sheetData>
    <row r="2" spans="2:9" x14ac:dyDescent="0.2">
      <c r="B2" s="2" t="s">
        <v>32</v>
      </c>
    </row>
    <row r="3" spans="2:9" x14ac:dyDescent="0.2">
      <c r="B3" t="s">
        <v>22</v>
      </c>
    </row>
    <row r="4" spans="2:9" x14ac:dyDescent="0.2">
      <c r="B4" s="4" t="s">
        <v>23</v>
      </c>
    </row>
    <row r="7" spans="2:9" x14ac:dyDescent="0.2">
      <c r="B7" s="2" t="s">
        <v>21</v>
      </c>
    </row>
    <row r="8" spans="2:9" x14ac:dyDescent="0.2">
      <c r="B8" s="10"/>
      <c r="C8" s="10"/>
      <c r="D8" s="111" t="s">
        <v>28</v>
      </c>
      <c r="E8" s="112"/>
      <c r="F8" s="113"/>
      <c r="G8" s="111" t="s">
        <v>9</v>
      </c>
      <c r="H8" s="112"/>
      <c r="I8" s="113"/>
    </row>
    <row r="9" spans="2:9" x14ac:dyDescent="0.2">
      <c r="B9" s="10"/>
      <c r="C9" s="10"/>
      <c r="D9" s="11">
        <v>2014</v>
      </c>
      <c r="E9" s="11">
        <v>2030</v>
      </c>
      <c r="F9" s="11">
        <v>2050</v>
      </c>
      <c r="G9" s="11">
        <v>2014</v>
      </c>
      <c r="H9" s="11">
        <v>2030</v>
      </c>
      <c r="I9" s="11">
        <v>2050</v>
      </c>
    </row>
    <row r="10" spans="2:9" x14ac:dyDescent="0.2">
      <c r="B10" s="114" t="s">
        <v>1</v>
      </c>
      <c r="C10" s="10" t="s">
        <v>4</v>
      </c>
      <c r="D10" s="12">
        <v>1641</v>
      </c>
      <c r="E10" s="12">
        <v>1518</v>
      </c>
      <c r="F10" s="12">
        <v>1512</v>
      </c>
      <c r="G10" s="37">
        <v>0.51</v>
      </c>
      <c r="H10" s="37">
        <v>0.56999999999999995</v>
      </c>
      <c r="I10" s="37">
        <v>0.6</v>
      </c>
    </row>
    <row r="11" spans="2:9" x14ac:dyDescent="0.2">
      <c r="B11" s="115"/>
      <c r="C11" s="10" t="s">
        <v>5</v>
      </c>
      <c r="D11" s="12">
        <v>1641</v>
      </c>
      <c r="E11" s="12">
        <v>1518</v>
      </c>
      <c r="F11" s="12">
        <v>1512</v>
      </c>
      <c r="G11" s="37">
        <v>0.47</v>
      </c>
      <c r="H11" s="37">
        <v>0.52</v>
      </c>
      <c r="I11" s="37">
        <v>0.55000000000000004</v>
      </c>
    </row>
    <row r="12" spans="2:9" x14ac:dyDescent="0.2">
      <c r="B12" s="115"/>
      <c r="C12" s="10" t="s">
        <v>6</v>
      </c>
      <c r="D12" s="12">
        <v>1729</v>
      </c>
      <c r="E12" s="12">
        <v>1724</v>
      </c>
      <c r="F12" s="12">
        <v>1625</v>
      </c>
      <c r="G12" s="37">
        <v>0.44</v>
      </c>
      <c r="H12" s="37">
        <v>0.5</v>
      </c>
      <c r="I12" s="37">
        <v>0.53</v>
      </c>
    </row>
    <row r="13" spans="2:9" x14ac:dyDescent="0.2">
      <c r="B13" s="115"/>
      <c r="C13" s="10" t="s">
        <v>7</v>
      </c>
      <c r="D13" s="12">
        <v>1758</v>
      </c>
      <c r="E13" s="12">
        <v>1724</v>
      </c>
      <c r="F13" s="12">
        <v>1722</v>
      </c>
      <c r="G13" s="37">
        <v>0.38</v>
      </c>
      <c r="H13" s="37">
        <v>0.44</v>
      </c>
      <c r="I13" s="37">
        <v>0.47</v>
      </c>
    </row>
    <row r="14" spans="2:9" x14ac:dyDescent="0.2">
      <c r="B14" s="116"/>
      <c r="C14" s="10" t="s">
        <v>8</v>
      </c>
      <c r="D14" s="12">
        <v>1758</v>
      </c>
      <c r="E14" s="12">
        <v>1724</v>
      </c>
      <c r="F14" s="12">
        <v>1722</v>
      </c>
      <c r="G14" s="37">
        <v>0.32</v>
      </c>
      <c r="H14" s="37">
        <v>0.37</v>
      </c>
      <c r="I14" s="37">
        <v>0.4</v>
      </c>
    </row>
    <row r="16" spans="2:9" x14ac:dyDescent="0.2">
      <c r="B16" s="2" t="s">
        <v>20</v>
      </c>
    </row>
    <row r="17" spans="2:13" x14ac:dyDescent="0.2">
      <c r="B17" s="10"/>
      <c r="C17" s="10"/>
      <c r="D17" s="111" t="s">
        <v>28</v>
      </c>
      <c r="E17" s="112"/>
      <c r="F17" s="113"/>
      <c r="G17" s="111" t="s">
        <v>9</v>
      </c>
      <c r="H17" s="112"/>
      <c r="I17" s="113"/>
    </row>
    <row r="18" spans="2:13" x14ac:dyDescent="0.2">
      <c r="B18" s="10"/>
      <c r="C18" s="10"/>
      <c r="D18" s="11">
        <v>2014</v>
      </c>
      <c r="E18" s="11">
        <v>2030</v>
      </c>
      <c r="F18" s="11">
        <v>2050</v>
      </c>
      <c r="G18" s="11">
        <v>2014</v>
      </c>
      <c r="H18" s="11">
        <v>2030</v>
      </c>
      <c r="I18" s="11">
        <v>2050</v>
      </c>
    </row>
    <row r="19" spans="2:13" x14ac:dyDescent="0.2">
      <c r="B19" s="117" t="s">
        <v>2</v>
      </c>
      <c r="C19" s="10" t="s">
        <v>10</v>
      </c>
      <c r="D19" s="12">
        <v>5307</v>
      </c>
      <c r="E19" s="12">
        <v>3851</v>
      </c>
      <c r="F19" s="12">
        <v>3629</v>
      </c>
      <c r="G19" s="37">
        <v>0.47</v>
      </c>
      <c r="H19" s="37">
        <v>0.52</v>
      </c>
      <c r="I19" s="37">
        <v>0.53</v>
      </c>
    </row>
    <row r="20" spans="2:13" x14ac:dyDescent="0.2">
      <c r="B20" s="117"/>
      <c r="C20" s="10" t="s">
        <v>11</v>
      </c>
      <c r="D20" s="12">
        <v>5307</v>
      </c>
      <c r="E20" s="12">
        <v>3851</v>
      </c>
      <c r="F20" s="12">
        <v>3629</v>
      </c>
      <c r="G20" s="37">
        <v>0.44</v>
      </c>
      <c r="H20" s="37">
        <v>0.48</v>
      </c>
      <c r="I20" s="37">
        <v>0.49</v>
      </c>
    </row>
    <row r="21" spans="2:13" x14ac:dyDescent="0.2">
      <c r="B21" s="117"/>
      <c r="C21" s="10" t="s">
        <v>12</v>
      </c>
      <c r="D21" s="12">
        <v>5307</v>
      </c>
      <c r="E21" s="12">
        <v>3851</v>
      </c>
      <c r="F21" s="12">
        <v>3629</v>
      </c>
      <c r="G21" s="37">
        <v>0.4</v>
      </c>
      <c r="H21" s="37">
        <v>0.44</v>
      </c>
      <c r="I21" s="37">
        <v>0.45</v>
      </c>
    </row>
    <row r="22" spans="2:13" x14ac:dyDescent="0.2">
      <c r="B22" s="117"/>
      <c r="C22" s="10" t="s">
        <v>13</v>
      </c>
      <c r="D22" s="12">
        <v>5307</v>
      </c>
      <c r="E22" s="12">
        <v>3851</v>
      </c>
      <c r="F22" s="12">
        <v>3629</v>
      </c>
      <c r="G22" s="37">
        <v>0.34</v>
      </c>
      <c r="H22" s="37">
        <v>0.37</v>
      </c>
      <c r="I22" s="37">
        <v>0.38</v>
      </c>
    </row>
    <row r="23" spans="2:13" x14ac:dyDescent="0.2">
      <c r="B23" s="117"/>
      <c r="C23" s="10" t="s">
        <v>14</v>
      </c>
      <c r="D23" s="12">
        <v>5859</v>
      </c>
      <c r="E23" s="12">
        <v>4249</v>
      </c>
      <c r="F23" s="12">
        <v>4003</v>
      </c>
      <c r="G23" s="37">
        <v>0.47</v>
      </c>
      <c r="H23" s="37">
        <v>0.51</v>
      </c>
      <c r="I23" s="37">
        <v>0.53</v>
      </c>
    </row>
    <row r="24" spans="2:13" x14ac:dyDescent="0.2">
      <c r="B24" s="117"/>
      <c r="C24" s="10" t="s">
        <v>15</v>
      </c>
      <c r="D24" s="12">
        <v>5859</v>
      </c>
      <c r="E24" s="12">
        <v>4249</v>
      </c>
      <c r="F24" s="12">
        <v>4003</v>
      </c>
      <c r="G24" s="37">
        <v>0.44</v>
      </c>
      <c r="H24" s="37">
        <v>0.48</v>
      </c>
      <c r="I24" s="37">
        <v>0.49</v>
      </c>
    </row>
    <row r="25" spans="2:13" x14ac:dyDescent="0.2">
      <c r="B25" s="117"/>
      <c r="C25" s="10" t="s">
        <v>16</v>
      </c>
      <c r="D25" s="12">
        <v>5859</v>
      </c>
      <c r="E25" s="12">
        <v>4249</v>
      </c>
      <c r="F25" s="12">
        <v>4003</v>
      </c>
      <c r="G25" s="37">
        <v>0.42</v>
      </c>
      <c r="H25" s="37">
        <v>0.46</v>
      </c>
      <c r="I25" s="37">
        <v>0.47</v>
      </c>
    </row>
    <row r="26" spans="2:13" x14ac:dyDescent="0.2">
      <c r="B26" s="117"/>
      <c r="C26" s="10" t="s">
        <v>17</v>
      </c>
      <c r="D26" s="12">
        <v>6859</v>
      </c>
      <c r="E26" s="12">
        <v>4969</v>
      </c>
      <c r="F26" s="12">
        <v>4680</v>
      </c>
      <c r="G26" s="37">
        <v>0.49</v>
      </c>
      <c r="H26" s="37">
        <v>0.54</v>
      </c>
      <c r="I26" s="37">
        <v>0.55000000000000004</v>
      </c>
    </row>
    <row r="27" spans="2:13" x14ac:dyDescent="0.2">
      <c r="B27" s="117"/>
      <c r="C27" s="10" t="s">
        <v>18</v>
      </c>
      <c r="D27" s="12">
        <v>6859</v>
      </c>
      <c r="E27" s="12">
        <v>4969</v>
      </c>
      <c r="F27" s="12">
        <v>4680</v>
      </c>
      <c r="G27" s="37">
        <v>0.47</v>
      </c>
      <c r="H27" s="37">
        <v>0.51</v>
      </c>
      <c r="I27" s="37">
        <v>0.53</v>
      </c>
    </row>
    <row r="28" spans="2:13" x14ac:dyDescent="0.2">
      <c r="B28" s="117"/>
      <c r="C28" s="10" t="s">
        <v>19</v>
      </c>
      <c r="D28" s="12">
        <v>6859</v>
      </c>
      <c r="E28" s="12">
        <v>4969</v>
      </c>
      <c r="F28" s="12">
        <v>4680</v>
      </c>
      <c r="G28" s="37">
        <v>0.44</v>
      </c>
      <c r="H28" s="37">
        <v>0.48</v>
      </c>
      <c r="I28" s="37">
        <v>0.49</v>
      </c>
    </row>
    <row r="30" spans="2:13" x14ac:dyDescent="0.2">
      <c r="B30" s="2" t="s">
        <v>50</v>
      </c>
    </row>
    <row r="31" spans="2:13" x14ac:dyDescent="0.2">
      <c r="B31" s="2"/>
      <c r="D31" t="s">
        <v>29</v>
      </c>
    </row>
    <row r="32" spans="2:13" x14ac:dyDescent="0.2">
      <c r="B32" s="118" t="s">
        <v>3</v>
      </c>
      <c r="C32" s="119"/>
      <c r="D32" s="11">
        <v>2010</v>
      </c>
      <c r="E32" s="11">
        <v>2013</v>
      </c>
      <c r="F32" s="11">
        <v>2015</v>
      </c>
      <c r="G32" s="11">
        <v>2020</v>
      </c>
      <c r="H32" s="11">
        <v>2025</v>
      </c>
      <c r="I32" s="11">
        <v>2030</v>
      </c>
      <c r="J32" s="11">
        <v>2035</v>
      </c>
      <c r="K32" s="11">
        <v>2040</v>
      </c>
      <c r="L32" s="11">
        <v>2045</v>
      </c>
      <c r="M32" s="11">
        <v>2050</v>
      </c>
    </row>
    <row r="33" spans="2:13" x14ac:dyDescent="0.2">
      <c r="B33" s="120"/>
      <c r="C33" s="121"/>
      <c r="D33" s="12">
        <v>4346</v>
      </c>
      <c r="E33" s="12">
        <v>2674</v>
      </c>
      <c r="F33" s="12">
        <v>2368</v>
      </c>
      <c r="G33" s="12">
        <v>1604</v>
      </c>
      <c r="H33" s="12">
        <v>1470</v>
      </c>
      <c r="I33" s="12">
        <v>1337</v>
      </c>
      <c r="J33" s="12">
        <v>1203</v>
      </c>
      <c r="K33" s="12">
        <v>1069</v>
      </c>
      <c r="L33" s="12">
        <v>1069</v>
      </c>
      <c r="M33" s="12">
        <v>1069</v>
      </c>
    </row>
    <row r="35" spans="2:13" x14ac:dyDescent="0.2">
      <c r="B35" s="14" t="s">
        <v>33</v>
      </c>
    </row>
    <row r="36" spans="2:13" x14ac:dyDescent="0.2">
      <c r="B36" t="s">
        <v>24</v>
      </c>
    </row>
    <row r="37" spans="2:13" x14ac:dyDescent="0.2">
      <c r="B37" t="s">
        <v>25</v>
      </c>
    </row>
    <row r="39" spans="2:13" x14ac:dyDescent="0.2">
      <c r="B39" s="14" t="s">
        <v>26</v>
      </c>
    </row>
    <row r="40" spans="2:13" x14ac:dyDescent="0.2">
      <c r="B40" t="s">
        <v>27</v>
      </c>
    </row>
    <row r="42" spans="2:13" x14ac:dyDescent="0.2">
      <c r="B42" s="2" t="s">
        <v>61</v>
      </c>
    </row>
    <row r="43" spans="2:13" x14ac:dyDescent="0.2">
      <c r="B43" s="2"/>
      <c r="D43" t="s">
        <v>75</v>
      </c>
    </row>
    <row r="44" spans="2:13" x14ac:dyDescent="0.2">
      <c r="B44" s="107" t="s">
        <v>63</v>
      </c>
      <c r="C44" s="108"/>
      <c r="D44" s="11">
        <v>2010</v>
      </c>
      <c r="E44" s="11"/>
      <c r="F44" s="11">
        <v>2015</v>
      </c>
      <c r="G44" s="11">
        <v>2020</v>
      </c>
      <c r="H44" s="11">
        <v>2025</v>
      </c>
      <c r="I44" s="11">
        <v>2030</v>
      </c>
      <c r="J44" s="11">
        <v>2035</v>
      </c>
      <c r="K44" s="11">
        <v>2040</v>
      </c>
      <c r="L44" s="11">
        <v>2045</v>
      </c>
      <c r="M44" s="11">
        <v>2050</v>
      </c>
    </row>
    <row r="45" spans="2:13" ht="24.6" customHeight="1" x14ac:dyDescent="0.2">
      <c r="B45" s="109"/>
      <c r="C45" s="110"/>
      <c r="D45" s="12">
        <v>4319</v>
      </c>
      <c r="E45" s="12"/>
      <c r="F45" s="12">
        <v>4157</v>
      </c>
      <c r="G45" s="12">
        <v>3995</v>
      </c>
      <c r="H45" s="12">
        <v>3883</v>
      </c>
      <c r="I45" s="12">
        <v>3671</v>
      </c>
      <c r="J45" s="12">
        <v>3509</v>
      </c>
      <c r="K45" s="12">
        <v>3347</v>
      </c>
      <c r="L45" s="12">
        <v>3185</v>
      </c>
      <c r="M45" s="12">
        <v>3023</v>
      </c>
    </row>
    <row r="46" spans="2:13" x14ac:dyDescent="0.2">
      <c r="B46" s="107" t="s">
        <v>62</v>
      </c>
      <c r="C46" s="108"/>
    </row>
    <row r="47" spans="2:13" ht="21.95" customHeight="1" x14ac:dyDescent="0.2">
      <c r="B47" s="109"/>
      <c r="C47" s="110"/>
      <c r="D47" s="12">
        <v>5919</v>
      </c>
      <c r="E47" s="12"/>
      <c r="F47" s="12">
        <v>5919</v>
      </c>
      <c r="G47" s="12">
        <v>3669</v>
      </c>
      <c r="H47" s="12">
        <v>3446</v>
      </c>
      <c r="I47" s="12">
        <v>3222</v>
      </c>
      <c r="J47" s="12">
        <v>2999</v>
      </c>
      <c r="K47" s="12">
        <v>2776</v>
      </c>
      <c r="L47" s="12">
        <v>2776</v>
      </c>
      <c r="M47" s="12">
        <v>2776</v>
      </c>
    </row>
    <row r="49" spans="2:2" x14ac:dyDescent="0.2">
      <c r="B49" s="14" t="s">
        <v>42</v>
      </c>
    </row>
    <row r="50" spans="2:2" x14ac:dyDescent="0.2">
      <c r="B50" t="s">
        <v>64</v>
      </c>
    </row>
    <row r="51" spans="2:2" x14ac:dyDescent="0.2">
      <c r="B51" t="s">
        <v>65</v>
      </c>
    </row>
    <row r="53" spans="2:2" x14ac:dyDescent="0.2">
      <c r="B53" s="14" t="s">
        <v>71</v>
      </c>
    </row>
    <row r="54" spans="2:2" x14ac:dyDescent="0.2">
      <c r="B54" t="s">
        <v>70</v>
      </c>
    </row>
    <row r="55" spans="2:2" x14ac:dyDescent="0.2">
      <c r="B55" t="s">
        <v>73</v>
      </c>
    </row>
  </sheetData>
  <mergeCells count="9">
    <mergeCell ref="B44:C45"/>
    <mergeCell ref="B46:C47"/>
    <mergeCell ref="D8:F8"/>
    <mergeCell ref="G8:I8"/>
    <mergeCell ref="B10:B14"/>
    <mergeCell ref="B19:B28"/>
    <mergeCell ref="B32:C33"/>
    <mergeCell ref="D17:F17"/>
    <mergeCell ref="G17:I17"/>
  </mergeCells>
  <hyperlinks>
    <hyperlink ref="B4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8BBD51855A4A99A6A45DD1F00FCD" ma:contentTypeVersion="11" ma:contentTypeDescription="Create a new document." ma:contentTypeScope="" ma:versionID="2af04eb9371e8af5ae284ac8ad2d29e3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dfc7f89-361c-4da3-9eb1-c903ad39280a" xmlns:ns6="4ac6f653-1ec0-4368-b61c-4ecc36cd00bb" targetNamespace="http://schemas.microsoft.com/office/2006/metadata/properties" ma:root="true" ma:fieldsID="7364ebd1c60adb729c1df89b86ccf2c5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dfc7f89-361c-4da3-9eb1-c903ad39280a"/>
    <xsd:import namespace="4ac6f653-1ec0-4368-b61c-4ecc36cd00bb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6:Status" minOccurs="0"/>
                <xsd:element ref="ns6:Uploaded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7f89-361c-4da3-9eb1-c903ad39280a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6f653-1ec0-4368-b61c-4ecc36cd00bb" elementFormDefault="qualified">
    <xsd:import namespace="http://schemas.microsoft.com/office/2006/documentManagement/types"/>
    <xsd:import namespace="http://schemas.microsoft.com/office/infopath/2007/PartnerControls"/>
    <xsd:element name="Status" ma:index="30" nillable="true" ma:displayName="Status" ma:default="Final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Uploaded" ma:index="31" nillable="true" ma:displayName="Uploaded" ma:default="0" ma:internalName="Uploa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Status xmlns="4ac6f653-1ec0-4368-b61c-4ecc36cd00bb">Final</Status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Uploaded xmlns="4ac6f653-1ec0-4368-b61c-4ecc36cd00bb">false</Uploaded>
    <Record xmlns="4ffa91fb-a0ff-4ac5-b2db-65c790d184a4">Shared</Record>
    <Rights xmlns="4ffa91fb-a0ff-4ac5-b2db-65c790d184a4" xsi:nil="true"/>
    <Document_x0020_Creation_x0020_Date xmlns="4ffa91fb-a0ff-4ac5-b2db-65c790d184a4">2015-08-01T18:18:29+00:00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E165E9EC-76AC-4DD6-8674-CB5E6F42742F}"/>
</file>

<file path=customXml/itemProps2.xml><?xml version="1.0" encoding="utf-8"?>
<ds:datastoreItem xmlns:ds="http://schemas.openxmlformats.org/officeDocument/2006/customXml" ds:itemID="{4EE26F6A-47BF-4331-B3A6-46B2733EE51F}"/>
</file>

<file path=customXml/itemProps3.xml><?xml version="1.0" encoding="utf-8"?>
<ds:datastoreItem xmlns:ds="http://schemas.openxmlformats.org/officeDocument/2006/customXml" ds:itemID="{75BE6BDC-E868-4844-844B-F96B81195A08}"/>
</file>

<file path=customXml/itemProps4.xml><?xml version="1.0" encoding="utf-8"?>
<ds:datastoreItem xmlns:ds="http://schemas.openxmlformats.org/officeDocument/2006/customXml" ds:itemID="{FECBAD79-6773-4AA5-A447-2A509DD28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TSB Tables</vt:lpstr>
      <vt:lpstr>Comparison</vt:lpstr>
      <vt:lpstr>EIA</vt:lpstr>
      <vt:lpstr>ATB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Fucci, Michael</dc:creator>
  <cp:lastModifiedBy>EPA</cp:lastModifiedBy>
  <dcterms:created xsi:type="dcterms:W3CDTF">2015-07-10T18:16:45Z</dcterms:created>
  <dcterms:modified xsi:type="dcterms:W3CDTF">2015-08-01T04:13:33Z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0x010100510F8BBD51855A4A99A6A45DD1F00FCD</vt:lpwstr>
  </property>
</Properties>
</file>