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595" tabRatio="816"/>
  </bookViews>
  <sheets>
    <sheet name="Summary" sheetId="5" r:id="rId1"/>
    <sheet name="Calc Method Using MWh" sheetId="9" r:id="rId2"/>
    <sheet name="Calc Method Using % 2012 Gen" sheetId="1" r:id="rId3"/>
    <sheet name="Input - Effective RE Level" sheetId="7" r:id="rId4"/>
    <sheet name="Input- EIA 2012 Generation Data" sheetId="6" r:id="rId5"/>
  </sheets>
  <definedNames>
    <definedName name="_xlnm._FilterDatabase" localSheetId="2" hidden="1">'Calc Method Using % 2012 Gen'!$A$15:$H$66</definedName>
    <definedName name="_xlnm._FilterDatabase" localSheetId="1" hidden="1">'Calc Method Using MWh'!$A$15:$I$66</definedName>
    <definedName name="Net_Generation_by_State__Type_1" localSheetId="1">#REF!</definedName>
    <definedName name="Net_Generation_by_State__Type_1" localSheetId="4">#REF!</definedName>
    <definedName name="Net_Generation_by_State__Type_1" localSheetId="0">#REF!</definedName>
    <definedName name="Net_Generation_by_State__Type_1">#REF!</definedName>
    <definedName name="Net_Generation_by_State__Type_of_Producer__Energy_Source" localSheetId="0">#REF!</definedName>
    <definedName name="_xlnm.Print_Area" localSheetId="2">'Calc Method Using % 2012 Gen'!$A$14:$AB$67</definedName>
    <definedName name="_xlnm.Print_Area" localSheetId="1">'Calc Method Using MWh'!$A$14:$AC$67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9" l="1"/>
  <c r="C72" i="6" l="1"/>
  <c r="I17" i="9" s="1"/>
  <c r="B72" i="6"/>
  <c r="I27" i="9" s="1"/>
  <c r="H17" i="1" l="1"/>
  <c r="H27" i="1"/>
  <c r="C41" i="9"/>
  <c r="J20" i="9"/>
  <c r="F9" i="6" l="1"/>
  <c r="H9" i="6" s="1"/>
  <c r="I24" i="1" s="1"/>
  <c r="C16" i="1" l="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E46" i="1" l="1"/>
  <c r="E54" i="1"/>
  <c r="E62" i="1"/>
  <c r="E51" i="1"/>
  <c r="E64" i="1"/>
  <c r="E23" i="1"/>
  <c r="E24" i="1"/>
  <c r="E36" i="1"/>
  <c r="E29" i="1"/>
  <c r="E30" i="1"/>
  <c r="E38" i="1"/>
  <c r="E31" i="1"/>
  <c r="E39" i="1"/>
  <c r="E65" i="1"/>
  <c r="E41" i="1"/>
  <c r="E57" i="1"/>
  <c r="E50" i="1"/>
  <c r="E37" i="1"/>
  <c r="E45" i="1"/>
  <c r="E61" i="1"/>
  <c r="E35" i="1"/>
  <c r="E55" i="1"/>
  <c r="E22" i="1"/>
  <c r="E48" i="1"/>
  <c r="E43" i="1"/>
  <c r="E32" i="1"/>
  <c r="E59" i="1"/>
  <c r="E34" i="1"/>
  <c r="E52" i="1"/>
  <c r="E19" i="1"/>
  <c r="E53" i="1"/>
  <c r="E20" i="1"/>
  <c r="E28" i="1"/>
  <c r="E21" i="1"/>
  <c r="E47" i="1"/>
  <c r="E63" i="1"/>
  <c r="E66" i="1"/>
  <c r="E42" i="1"/>
  <c r="E44" i="1"/>
  <c r="E60" i="1"/>
  <c r="E18" i="1"/>
  <c r="E16" i="1"/>
  <c r="E40" i="1"/>
  <c r="E56" i="1"/>
  <c r="E33" i="1"/>
  <c r="E49" i="1"/>
  <c r="E58" i="1"/>
  <c r="E25" i="1"/>
  <c r="E26" i="1"/>
  <c r="E11" i="1" l="1"/>
  <c r="C53" i="6"/>
  <c r="I4" i="9" l="1"/>
  <c r="F46" i="6" l="1"/>
  <c r="H46" i="6" s="1"/>
  <c r="I60" i="1" s="1"/>
  <c r="J17" i="9" l="1"/>
  <c r="J18" i="9"/>
  <c r="J19" i="9"/>
  <c r="J21" i="9"/>
  <c r="J22" i="9"/>
  <c r="J23" i="9"/>
  <c r="Y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2" i="9"/>
  <c r="J63" i="9"/>
  <c r="J64" i="9"/>
  <c r="J65" i="9"/>
  <c r="J66" i="9"/>
  <c r="C66" i="9"/>
  <c r="C65" i="9"/>
  <c r="C64" i="9"/>
  <c r="C63" i="9"/>
  <c r="C62" i="9"/>
  <c r="C61" i="9"/>
  <c r="C60" i="9"/>
  <c r="C59" i="9"/>
  <c r="C58" i="9"/>
  <c r="C57" i="9"/>
  <c r="C56" i="9"/>
  <c r="C55" i="9"/>
  <c r="C54" i="9"/>
  <c r="C53" i="9"/>
  <c r="C52" i="9"/>
  <c r="C51" i="9"/>
  <c r="C50" i="9"/>
  <c r="C49" i="9"/>
  <c r="C48" i="9"/>
  <c r="C47" i="9"/>
  <c r="C46" i="9"/>
  <c r="C45" i="9"/>
  <c r="C44" i="9"/>
  <c r="C43" i="9"/>
  <c r="C42" i="9"/>
  <c r="C40" i="9"/>
  <c r="C39" i="9"/>
  <c r="C38" i="9"/>
  <c r="C37" i="9"/>
  <c r="C36" i="9"/>
  <c r="C35" i="9"/>
  <c r="C34" i="9"/>
  <c r="C33" i="9"/>
  <c r="C32" i="9"/>
  <c r="C31" i="9"/>
  <c r="C30" i="9"/>
  <c r="C29" i="9"/>
  <c r="C28" i="9"/>
  <c r="C27" i="9"/>
  <c r="C26" i="9"/>
  <c r="C25" i="9"/>
  <c r="C24" i="9"/>
  <c r="C23" i="9"/>
  <c r="C22" i="9"/>
  <c r="C21" i="9"/>
  <c r="C20" i="9"/>
  <c r="Y19" i="9"/>
  <c r="C19" i="9"/>
  <c r="C18" i="9"/>
  <c r="Y17" i="9"/>
  <c r="C17" i="9"/>
  <c r="C16" i="9"/>
  <c r="L15" i="9"/>
  <c r="M15" i="9" s="1"/>
  <c r="N15" i="9" s="1"/>
  <c r="O15" i="9" s="1"/>
  <c r="P15" i="9" s="1"/>
  <c r="Q15" i="9" s="1"/>
  <c r="R15" i="9" s="1"/>
  <c r="S15" i="9" s="1"/>
  <c r="T15" i="9" s="1"/>
  <c r="U15" i="9" s="1"/>
  <c r="V15" i="9" s="1"/>
  <c r="W15" i="9" s="1"/>
  <c r="I6" i="9"/>
  <c r="E18" i="9" l="1"/>
  <c r="Y64" i="9"/>
  <c r="Y48" i="9"/>
  <c r="Y40" i="9"/>
  <c r="Y32" i="9"/>
  <c r="Y65" i="9"/>
  <c r="Y39" i="9"/>
  <c r="Y31" i="9"/>
  <c r="Y23" i="9"/>
  <c r="Y62" i="9"/>
  <c r="Y46" i="9"/>
  <c r="Y38" i="9"/>
  <c r="Y30" i="9"/>
  <c r="Y22" i="9"/>
  <c r="Y53" i="9"/>
  <c r="Y45" i="9"/>
  <c r="Y37" i="9"/>
  <c r="Y29" i="9"/>
  <c r="Y21" i="9"/>
  <c r="Y25" i="9"/>
  <c r="Y44" i="9"/>
  <c r="Y36" i="9"/>
  <c r="Y28" i="9"/>
  <c r="Y57" i="9"/>
  <c r="Y43" i="9"/>
  <c r="Y35" i="9"/>
  <c r="Y18" i="9"/>
  <c r="Y33" i="9"/>
  <c r="Y66" i="9"/>
  <c r="Y42" i="9"/>
  <c r="Y34" i="9"/>
  <c r="Y26" i="9"/>
  <c r="E16" i="9"/>
  <c r="E42" i="9"/>
  <c r="E66" i="9"/>
  <c r="E28" i="9"/>
  <c r="E21" i="9"/>
  <c r="E47" i="9"/>
  <c r="E44" i="9"/>
  <c r="E60" i="9"/>
  <c r="F60" i="9" s="1"/>
  <c r="E53" i="9"/>
  <c r="E20" i="9"/>
  <c r="E63" i="9"/>
  <c r="E50" i="9"/>
  <c r="E65" i="9"/>
  <c r="E29" i="9"/>
  <c r="F29" i="9" s="1"/>
  <c r="E38" i="9"/>
  <c r="E39" i="9"/>
  <c r="E30" i="9"/>
  <c r="E31" i="9"/>
  <c r="E41" i="9"/>
  <c r="E57" i="9"/>
  <c r="E34" i="9"/>
  <c r="E43" i="9"/>
  <c r="E59" i="9"/>
  <c r="E19" i="9"/>
  <c r="E52" i="9"/>
  <c r="E32" i="9"/>
  <c r="E58" i="9"/>
  <c r="E25" i="9"/>
  <c r="E26" i="9"/>
  <c r="E40" i="9"/>
  <c r="E56" i="9"/>
  <c r="E33" i="9"/>
  <c r="E49" i="9"/>
  <c r="E35" i="9"/>
  <c r="E55" i="9"/>
  <c r="E37" i="9"/>
  <c r="E45" i="9"/>
  <c r="E61" i="9"/>
  <c r="E22" i="9"/>
  <c r="E48" i="9"/>
  <c r="E24" i="9"/>
  <c r="F24" i="9" s="1"/>
  <c r="E51" i="9"/>
  <c r="E23" i="9"/>
  <c r="E36" i="9"/>
  <c r="E62" i="9"/>
  <c r="E54" i="9"/>
  <c r="E64" i="9"/>
  <c r="E46" i="9"/>
  <c r="Y27" i="9"/>
  <c r="Y20" i="9"/>
  <c r="Y59" i="9"/>
  <c r="Y16" i="9"/>
  <c r="Y41" i="9"/>
  <c r="Y52" i="9"/>
  <c r="Y51" i="9"/>
  <c r="Y47" i="9"/>
  <c r="Y56" i="9"/>
  <c r="Y55" i="9"/>
  <c r="Y49" i="9"/>
  <c r="Y60" i="9"/>
  <c r="Y63" i="9"/>
  <c r="Y50" i="9"/>
  <c r="Y54" i="9"/>
  <c r="Y58" i="9"/>
  <c r="F48" i="6"/>
  <c r="G48" i="6" l="1"/>
  <c r="H48" i="6"/>
  <c r="I61" i="1" s="1"/>
  <c r="E11" i="9"/>
  <c r="F61" i="9" l="1"/>
  <c r="E7" i="9"/>
  <c r="E5" i="9"/>
  <c r="E8" i="9"/>
  <c r="E10" i="9"/>
  <c r="E9" i="9"/>
  <c r="E17" i="9" l="1"/>
  <c r="E27" i="9"/>
  <c r="E4" i="9" l="1"/>
  <c r="E6" i="9"/>
  <c r="H4" i="1" l="1"/>
  <c r="H6" i="1"/>
  <c r="K15" i="1" l="1"/>
  <c r="L15" i="1" s="1"/>
  <c r="M15" i="1" s="1"/>
  <c r="N15" i="1" s="1"/>
  <c r="O15" i="1" s="1"/>
  <c r="P15" i="1" s="1"/>
  <c r="Q15" i="1" s="1"/>
  <c r="R15" i="1" s="1"/>
  <c r="S15" i="1" s="1"/>
  <c r="T15" i="1" s="1"/>
  <c r="U15" i="1" s="1"/>
  <c r="V15" i="1" s="1"/>
  <c r="X60" i="1"/>
  <c r="B3" i="6" l="1"/>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2" i="6"/>
  <c r="E7" i="1" l="1"/>
  <c r="E10" i="1"/>
  <c r="E5" i="1"/>
  <c r="E8" i="1"/>
  <c r="E9" i="1"/>
  <c r="E53" i="6"/>
  <c r="D53" i="6"/>
  <c r="F52" i="6"/>
  <c r="F51" i="6"/>
  <c r="F50" i="6"/>
  <c r="F49" i="6"/>
  <c r="F47" i="6"/>
  <c r="G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8" i="6"/>
  <c r="F7" i="6"/>
  <c r="F6" i="6"/>
  <c r="F5" i="6"/>
  <c r="F4" i="6"/>
  <c r="F3" i="6"/>
  <c r="F2" i="6"/>
  <c r="A5" i="5"/>
  <c r="A6" i="5" s="1"/>
  <c r="A7" i="5" s="1"/>
  <c r="A8" i="5" s="1"/>
  <c r="A9" i="5" s="1"/>
  <c r="A10" i="5" s="1"/>
  <c r="G39" i="6" l="1"/>
  <c r="H39" i="6"/>
  <c r="G7" i="6"/>
  <c r="H7" i="6"/>
  <c r="G16" i="6"/>
  <c r="H16" i="6"/>
  <c r="G24" i="6"/>
  <c r="H24" i="6"/>
  <c r="G32" i="6"/>
  <c r="H32" i="6"/>
  <c r="G40" i="6"/>
  <c r="H40" i="6"/>
  <c r="G49" i="6"/>
  <c r="H49" i="6"/>
  <c r="G31" i="6"/>
  <c r="H31" i="6"/>
  <c r="G25" i="6"/>
  <c r="H25" i="6"/>
  <c r="G41" i="6"/>
  <c r="H41" i="6"/>
  <c r="G50" i="6"/>
  <c r="H50" i="6"/>
  <c r="G47" i="6"/>
  <c r="H47" i="6"/>
  <c r="G10" i="6"/>
  <c r="H10" i="6"/>
  <c r="G42" i="6"/>
  <c r="H42" i="6"/>
  <c r="G23" i="6"/>
  <c r="H23" i="6"/>
  <c r="G17" i="6"/>
  <c r="H17" i="6"/>
  <c r="G26" i="6"/>
  <c r="H26" i="6"/>
  <c r="G34" i="6"/>
  <c r="H34" i="6"/>
  <c r="G51" i="6"/>
  <c r="H51" i="6"/>
  <c r="F53" i="6"/>
  <c r="H2" i="6"/>
  <c r="G11" i="6"/>
  <c r="H11" i="6"/>
  <c r="G19" i="6"/>
  <c r="H19" i="6"/>
  <c r="G27" i="6"/>
  <c r="H27" i="6"/>
  <c r="G35" i="6"/>
  <c r="H35" i="6"/>
  <c r="G43" i="6"/>
  <c r="H43" i="6"/>
  <c r="G52" i="6"/>
  <c r="H52" i="6"/>
  <c r="G6" i="6"/>
  <c r="H6" i="6"/>
  <c r="G36" i="6"/>
  <c r="H36" i="6"/>
  <c r="G8" i="6"/>
  <c r="H8" i="6"/>
  <c r="G18" i="6"/>
  <c r="H18" i="6"/>
  <c r="G12" i="6"/>
  <c r="H12" i="6"/>
  <c r="G20" i="6"/>
  <c r="H20" i="6"/>
  <c r="G44" i="6"/>
  <c r="H44" i="6"/>
  <c r="G4" i="6"/>
  <c r="H4" i="6"/>
  <c r="G13" i="6"/>
  <c r="H13" i="6"/>
  <c r="G21" i="6"/>
  <c r="H21" i="6"/>
  <c r="G29" i="6"/>
  <c r="H29" i="6"/>
  <c r="G37" i="6"/>
  <c r="H37" i="6"/>
  <c r="G45" i="6"/>
  <c r="H45" i="6"/>
  <c r="G15" i="6"/>
  <c r="H15" i="6"/>
  <c r="G33" i="6"/>
  <c r="H33" i="6"/>
  <c r="G3" i="6"/>
  <c r="H3" i="6"/>
  <c r="G28" i="6"/>
  <c r="H28" i="6"/>
  <c r="G5" i="6"/>
  <c r="H5" i="6"/>
  <c r="G14" i="6"/>
  <c r="H14" i="6"/>
  <c r="G22" i="6"/>
  <c r="H22" i="6"/>
  <c r="G30" i="6"/>
  <c r="H30" i="6"/>
  <c r="G38" i="6"/>
  <c r="H38" i="6"/>
  <c r="E17" i="1"/>
  <c r="E27" i="1"/>
  <c r="F27" i="1" s="1"/>
  <c r="G51" i="1"/>
  <c r="G2" i="6"/>
  <c r="H20" i="9" s="1"/>
  <c r="I48" i="1" l="1"/>
  <c r="X48" i="1" s="1"/>
  <c r="F48" i="9"/>
  <c r="I43" i="1"/>
  <c r="X43" i="1" s="1"/>
  <c r="F43" i="9"/>
  <c r="I27" i="1"/>
  <c r="X27" i="1" s="1"/>
  <c r="F27" i="9"/>
  <c r="K27" i="9" s="1"/>
  <c r="L27" i="9" s="1"/>
  <c r="M27" i="9" s="1"/>
  <c r="N27" i="9" s="1"/>
  <c r="G27" i="9"/>
  <c r="G6" i="9" s="1"/>
  <c r="I44" i="1"/>
  <c r="X44" i="1" s="1"/>
  <c r="F44" i="9"/>
  <c r="F17" i="1"/>
  <c r="F4" i="1" s="1"/>
  <c r="I20" i="1"/>
  <c r="X20" i="1" s="1"/>
  <c r="F20" i="9"/>
  <c r="I40" i="1"/>
  <c r="X40" i="1" s="1"/>
  <c r="F40" i="9"/>
  <c r="I64" i="1"/>
  <c r="X64" i="1" s="1"/>
  <c r="F64" i="9"/>
  <c r="I35" i="1"/>
  <c r="X35" i="1" s="1"/>
  <c r="F35" i="9"/>
  <c r="I65" i="1"/>
  <c r="X65" i="1" s="1"/>
  <c r="F65" i="9"/>
  <c r="I63" i="1"/>
  <c r="X63" i="1" s="1"/>
  <c r="F63" i="9"/>
  <c r="I29" i="1"/>
  <c r="X29" i="1" s="1"/>
  <c r="I30" i="1"/>
  <c r="X30" i="1" s="1"/>
  <c r="F30" i="9"/>
  <c r="I59" i="1"/>
  <c r="X59" i="1" s="1"/>
  <c r="F59" i="9"/>
  <c r="I36" i="1"/>
  <c r="X36" i="1" s="1"/>
  <c r="F36" i="9"/>
  <c r="I32" i="1"/>
  <c r="X32" i="1" s="1"/>
  <c r="F32" i="9"/>
  <c r="I62" i="1"/>
  <c r="X62" i="1" s="1"/>
  <c r="F62" i="9"/>
  <c r="I51" i="1"/>
  <c r="X51" i="1" s="1"/>
  <c r="F51" i="9"/>
  <c r="I66" i="1"/>
  <c r="X66" i="1" s="1"/>
  <c r="F66" i="9"/>
  <c r="I33" i="1"/>
  <c r="X33" i="1" s="1"/>
  <c r="F33" i="9"/>
  <c r="I47" i="1"/>
  <c r="X47" i="1" s="1"/>
  <c r="F47" i="9"/>
  <c r="I56" i="1"/>
  <c r="X56" i="1" s="1"/>
  <c r="F56" i="9"/>
  <c r="I55" i="1"/>
  <c r="X55" i="1" s="1"/>
  <c r="F55" i="9"/>
  <c r="I54" i="1"/>
  <c r="X54" i="1" s="1"/>
  <c r="F54" i="9"/>
  <c r="I21" i="1"/>
  <c r="X21" i="1" s="1"/>
  <c r="F21" i="9"/>
  <c r="I17" i="1"/>
  <c r="X17" i="1" s="1"/>
  <c r="H53" i="6"/>
  <c r="F17" i="9"/>
  <c r="K17" i="9" s="1"/>
  <c r="L17" i="9" s="1"/>
  <c r="M17" i="9" s="1"/>
  <c r="N17" i="9" s="1"/>
  <c r="G17" i="9"/>
  <c r="I50" i="1"/>
  <c r="X50" i="1" s="1"/>
  <c r="F50" i="9"/>
  <c r="I22" i="1"/>
  <c r="X22" i="1" s="1"/>
  <c r="F22" i="9"/>
  <c r="G55" i="9"/>
  <c r="F37" i="1"/>
  <c r="G37" i="9"/>
  <c r="F22" i="1"/>
  <c r="F45" i="1"/>
  <c r="G45" i="9"/>
  <c r="F35" i="1"/>
  <c r="G22" i="9"/>
  <c r="G48" i="9"/>
  <c r="G35" i="9"/>
  <c r="F55" i="1"/>
  <c r="F61" i="1"/>
  <c r="F48" i="1"/>
  <c r="G61" i="9"/>
  <c r="I38" i="1"/>
  <c r="X38" i="1" s="1"/>
  <c r="F38" i="9"/>
  <c r="I42" i="1"/>
  <c r="X42" i="1" s="1"/>
  <c r="F42" i="9"/>
  <c r="I16" i="1"/>
  <c r="X16" i="1" s="1"/>
  <c r="F16" i="9"/>
  <c r="F58" i="1"/>
  <c r="F26" i="1"/>
  <c r="F40" i="1"/>
  <c r="G40" i="9"/>
  <c r="G33" i="9"/>
  <c r="G58" i="9"/>
  <c r="F33" i="1"/>
  <c r="F16" i="1"/>
  <c r="F56" i="1"/>
  <c r="F25" i="1"/>
  <c r="G16" i="9"/>
  <c r="G25" i="9"/>
  <c r="F49" i="1"/>
  <c r="G49" i="9"/>
  <c r="G56" i="9"/>
  <c r="G26" i="9"/>
  <c r="I19" i="1"/>
  <c r="X19" i="1" s="1"/>
  <c r="F19" i="9"/>
  <c r="G52" i="9"/>
  <c r="F59" i="1"/>
  <c r="F32" i="1"/>
  <c r="G32" i="9"/>
  <c r="G19" i="9"/>
  <c r="G43" i="9"/>
  <c r="F19" i="1"/>
  <c r="G34" i="9"/>
  <c r="G59" i="9"/>
  <c r="F43" i="1"/>
  <c r="F52" i="1"/>
  <c r="F34" i="1"/>
  <c r="I31" i="1"/>
  <c r="X31" i="1" s="1"/>
  <c r="F31" i="9"/>
  <c r="G29" i="9"/>
  <c r="G30" i="9"/>
  <c r="G31" i="9"/>
  <c r="F50" i="1"/>
  <c r="F38" i="1"/>
  <c r="F30" i="1"/>
  <c r="F31" i="1"/>
  <c r="G41" i="9"/>
  <c r="F41" i="1"/>
  <c r="F29" i="1"/>
  <c r="F39" i="1"/>
  <c r="G38" i="9"/>
  <c r="G39" i="9"/>
  <c r="G65" i="9"/>
  <c r="G57" i="9"/>
  <c r="F57" i="1"/>
  <c r="G50" i="9"/>
  <c r="F65" i="1"/>
  <c r="I46" i="1"/>
  <c r="X46" i="1" s="1"/>
  <c r="F46" i="9"/>
  <c r="I49" i="1"/>
  <c r="X49" i="1" s="1"/>
  <c r="F49" i="9"/>
  <c r="I58" i="1"/>
  <c r="X58" i="1" s="1"/>
  <c r="F58" i="9"/>
  <c r="H21" i="9"/>
  <c r="I57" i="1"/>
  <c r="X57" i="1" s="1"/>
  <c r="F57" i="9"/>
  <c r="I25" i="1"/>
  <c r="X25" i="1" s="1"/>
  <c r="F25" i="9"/>
  <c r="I41" i="1"/>
  <c r="X41" i="1" s="1"/>
  <c r="F41" i="9"/>
  <c r="I23" i="1"/>
  <c r="X23" i="1" s="1"/>
  <c r="F23" i="9"/>
  <c r="F23" i="1"/>
  <c r="G51" i="9"/>
  <c r="G64" i="9"/>
  <c r="F64" i="1"/>
  <c r="G54" i="9"/>
  <c r="F24" i="1"/>
  <c r="F62" i="1"/>
  <c r="F54" i="1"/>
  <c r="F36" i="1"/>
  <c r="G46" i="9"/>
  <c r="G62" i="9"/>
  <c r="G24" i="9"/>
  <c r="F46" i="1"/>
  <c r="G36" i="9"/>
  <c r="G23" i="9"/>
  <c r="F51" i="1"/>
  <c r="H51" i="1" s="1"/>
  <c r="I39" i="1"/>
  <c r="X39" i="1" s="1"/>
  <c r="F39" i="9"/>
  <c r="I45" i="1"/>
  <c r="X45" i="1" s="1"/>
  <c r="F45" i="9"/>
  <c r="I53" i="1"/>
  <c r="X53" i="1" s="1"/>
  <c r="F53" i="9"/>
  <c r="I26" i="1"/>
  <c r="X26" i="1" s="1"/>
  <c r="F26" i="9"/>
  <c r="I52" i="1"/>
  <c r="X52" i="1" s="1"/>
  <c r="F52" i="9"/>
  <c r="I18" i="1"/>
  <c r="X18" i="1" s="1"/>
  <c r="F18" i="9"/>
  <c r="G28" i="9"/>
  <c r="G63" i="9"/>
  <c r="F28" i="1"/>
  <c r="F42" i="1"/>
  <c r="F47" i="1"/>
  <c r="F60" i="1"/>
  <c r="G66" i="9"/>
  <c r="G18" i="9"/>
  <c r="G47" i="9"/>
  <c r="F20" i="1"/>
  <c r="F53" i="1"/>
  <c r="G44" i="9"/>
  <c r="G53" i="9"/>
  <c r="G20" i="9"/>
  <c r="G21" i="9"/>
  <c r="F66" i="1"/>
  <c r="G60" i="9"/>
  <c r="G42" i="9"/>
  <c r="F21" i="1"/>
  <c r="F44" i="1"/>
  <c r="F63" i="1"/>
  <c r="F18" i="1"/>
  <c r="I28" i="1"/>
  <c r="X28" i="1" s="1"/>
  <c r="F28" i="9"/>
  <c r="I37" i="1"/>
  <c r="X37" i="1" s="1"/>
  <c r="F37" i="9"/>
  <c r="I34" i="1"/>
  <c r="X34" i="1" s="1"/>
  <c r="F34" i="9"/>
  <c r="G50" i="1"/>
  <c r="F6" i="1"/>
  <c r="H43" i="9"/>
  <c r="J17" i="1"/>
  <c r="K17" i="1" s="1"/>
  <c r="L17" i="1" s="1"/>
  <c r="M17" i="1" s="1"/>
  <c r="N17" i="1" s="1"/>
  <c r="O17" i="1" s="1"/>
  <c r="P17" i="1" s="1"/>
  <c r="Q17" i="1" s="1"/>
  <c r="R17" i="1" s="1"/>
  <c r="S17" i="1" s="1"/>
  <c r="T17" i="1" s="1"/>
  <c r="U17" i="1" s="1"/>
  <c r="V17" i="1" s="1"/>
  <c r="H34" i="9"/>
  <c r="H22" i="9"/>
  <c r="G58" i="1"/>
  <c r="G23" i="1"/>
  <c r="G30" i="1"/>
  <c r="H35" i="9"/>
  <c r="H55" i="9"/>
  <c r="G62" i="1"/>
  <c r="G55" i="1"/>
  <c r="G19" i="1"/>
  <c r="G21" i="1"/>
  <c r="H61" i="9"/>
  <c r="G63" i="1"/>
  <c r="H27" i="9"/>
  <c r="H6" i="9" s="1"/>
  <c r="H65" i="9"/>
  <c r="G25" i="1"/>
  <c r="H44" i="9"/>
  <c r="G17" i="1"/>
  <c r="G4" i="1" s="1"/>
  <c r="H40" i="9"/>
  <c r="G61" i="1"/>
  <c r="H38" i="9"/>
  <c r="G44" i="1"/>
  <c r="G59" i="1"/>
  <c r="H53" i="9"/>
  <c r="G22" i="1"/>
  <c r="H50" i="9"/>
  <c r="H26" i="9"/>
  <c r="G29" i="1"/>
  <c r="G27" i="1"/>
  <c r="G6" i="1" s="1"/>
  <c r="H32" i="9"/>
  <c r="G34" i="1"/>
  <c r="H56" i="9"/>
  <c r="H47" i="9"/>
  <c r="G60" i="1"/>
  <c r="H49" i="9"/>
  <c r="G31" i="1"/>
  <c r="G52" i="1"/>
  <c r="G32" i="1"/>
  <c r="H23" i="9"/>
  <c r="H66" i="9"/>
  <c r="G38" i="1"/>
  <c r="H45" i="9"/>
  <c r="G35" i="1"/>
  <c r="H41" i="9"/>
  <c r="H24" i="9"/>
  <c r="G40" i="1"/>
  <c r="G39" i="1"/>
  <c r="H31" i="9"/>
  <c r="G56" i="1"/>
  <c r="H59" i="9"/>
  <c r="H36" i="9"/>
  <c r="G48" i="1"/>
  <c r="H19" i="9"/>
  <c r="H29" i="9"/>
  <c r="G28" i="1"/>
  <c r="H52" i="9"/>
  <c r="H63" i="9"/>
  <c r="H16" i="9"/>
  <c r="G46" i="1"/>
  <c r="G24" i="1"/>
  <c r="H17" i="9"/>
  <c r="H4" i="9" s="1"/>
  <c r="G43" i="1"/>
  <c r="H30" i="9"/>
  <c r="H57" i="9"/>
  <c r="G4" i="9"/>
  <c r="H54" i="9"/>
  <c r="H42" i="9"/>
  <c r="G45" i="1"/>
  <c r="G20" i="1"/>
  <c r="H51" i="9"/>
  <c r="H46" i="9"/>
  <c r="G33" i="1"/>
  <c r="G57" i="1"/>
  <c r="G53" i="6"/>
  <c r="G65" i="1"/>
  <c r="H18" i="9"/>
  <c r="H64" i="9"/>
  <c r="G37" i="1"/>
  <c r="G54" i="1"/>
  <c r="G42" i="1"/>
  <c r="H25" i="9"/>
  <c r="H58" i="9"/>
  <c r="G36" i="1"/>
  <c r="H48" i="9"/>
  <c r="G66" i="1"/>
  <c r="H62" i="9"/>
  <c r="G47" i="1"/>
  <c r="G18" i="1"/>
  <c r="H39" i="9"/>
  <c r="G64" i="1"/>
  <c r="H37" i="9"/>
  <c r="G53" i="1"/>
  <c r="G26" i="1"/>
  <c r="H33" i="9"/>
  <c r="G41" i="1"/>
  <c r="G49" i="1"/>
  <c r="H28" i="9"/>
  <c r="G16" i="1"/>
  <c r="H60" i="9"/>
  <c r="E4" i="1"/>
  <c r="E6" i="1"/>
  <c r="I29" i="9" l="1"/>
  <c r="G11" i="9"/>
  <c r="J27" i="1"/>
  <c r="K27" i="1" s="1"/>
  <c r="L27" i="1" s="1"/>
  <c r="M27" i="1" s="1"/>
  <c r="N27" i="1" s="1"/>
  <c r="O27" i="1" s="1"/>
  <c r="P27" i="1" s="1"/>
  <c r="Q27" i="1" s="1"/>
  <c r="R27" i="1" s="1"/>
  <c r="S27" i="1" s="1"/>
  <c r="T27" i="1" s="1"/>
  <c r="U27" i="1" s="1"/>
  <c r="V27" i="1" s="1"/>
  <c r="H46" i="1"/>
  <c r="J46" i="1" s="1"/>
  <c r="O17" i="9"/>
  <c r="O27" i="9"/>
  <c r="AB17" i="1"/>
  <c r="H65" i="1"/>
  <c r="J65" i="1" s="1"/>
  <c r="H64" i="1"/>
  <c r="J64" i="1" s="1"/>
  <c r="H50" i="1"/>
  <c r="J50" i="1" s="1"/>
  <c r="H34" i="1"/>
  <c r="J34" i="1" s="1"/>
  <c r="H30" i="1"/>
  <c r="J30" i="1" s="1"/>
  <c r="H16" i="1"/>
  <c r="J16" i="1" s="1"/>
  <c r="H42" i="1"/>
  <c r="J42" i="1" s="1"/>
  <c r="H21" i="1"/>
  <c r="J21" i="1" s="1"/>
  <c r="I43" i="9"/>
  <c r="I38" i="9"/>
  <c r="J51" i="1"/>
  <c r="H19" i="1"/>
  <c r="I34" i="9"/>
  <c r="K34" i="9" s="1"/>
  <c r="I59" i="9"/>
  <c r="K59" i="9" s="1"/>
  <c r="H60" i="1"/>
  <c r="H38" i="1"/>
  <c r="H52" i="1"/>
  <c r="I35" i="9"/>
  <c r="K35" i="9" s="1"/>
  <c r="I32" i="9"/>
  <c r="K32" i="9" s="1"/>
  <c r="I53" i="9"/>
  <c r="K53" i="9" s="1"/>
  <c r="H31" i="1"/>
  <c r="I20" i="9"/>
  <c r="K20" i="9" s="1"/>
  <c r="I31" i="9"/>
  <c r="K31" i="9" s="1"/>
  <c r="I61" i="9"/>
  <c r="I55" i="9"/>
  <c r="K55" i="9" s="1"/>
  <c r="H22" i="1"/>
  <c r="H33" i="1"/>
  <c r="I63" i="9"/>
  <c r="K63" i="9" s="1"/>
  <c r="I33" i="9"/>
  <c r="K33" i="9" s="1"/>
  <c r="H58" i="1"/>
  <c r="I52" i="9"/>
  <c r="K52" i="9" s="1"/>
  <c r="K29" i="9"/>
  <c r="I45" i="9"/>
  <c r="K45" i="9" s="1"/>
  <c r="I36" i="9"/>
  <c r="K36" i="9" s="1"/>
  <c r="I66" i="9"/>
  <c r="K66" i="9" s="1"/>
  <c r="I64" i="9"/>
  <c r="K64" i="9" s="1"/>
  <c r="H59" i="1"/>
  <c r="I47" i="9"/>
  <c r="K47" i="9" s="1"/>
  <c r="H55" i="1"/>
  <c r="H25" i="1"/>
  <c r="I60" i="9"/>
  <c r="K60" i="9" s="1"/>
  <c r="H37" i="1"/>
  <c r="I42" i="9"/>
  <c r="K42" i="9" s="1"/>
  <c r="I41" i="9"/>
  <c r="K41" i="9" s="1"/>
  <c r="H62" i="1"/>
  <c r="H9" i="9"/>
  <c r="H39" i="1"/>
  <c r="H40" i="1"/>
  <c r="H66" i="1"/>
  <c r="H20" i="1"/>
  <c r="I40" i="9"/>
  <c r="K40" i="9" s="1"/>
  <c r="H56" i="1"/>
  <c r="I56" i="9"/>
  <c r="K56" i="9" s="1"/>
  <c r="I48" i="9"/>
  <c r="K48" i="9" s="1"/>
  <c r="H36" i="1"/>
  <c r="H63" i="1"/>
  <c r="H7" i="9"/>
  <c r="G5" i="1"/>
  <c r="I44" i="9"/>
  <c r="K44" i="9" s="1"/>
  <c r="G9" i="1"/>
  <c r="H35" i="1"/>
  <c r="F7" i="1"/>
  <c r="G8" i="9"/>
  <c r="H29" i="1"/>
  <c r="J29" i="1" s="1"/>
  <c r="F8" i="1"/>
  <c r="I19" i="9"/>
  <c r="G9" i="9"/>
  <c r="H10" i="9"/>
  <c r="I25" i="9"/>
  <c r="K25" i="9" s="1"/>
  <c r="H24" i="1"/>
  <c r="H61" i="1"/>
  <c r="H47" i="1"/>
  <c r="I65" i="9"/>
  <c r="K65" i="9" s="1"/>
  <c r="H11" i="9"/>
  <c r="H57" i="1"/>
  <c r="I23" i="9"/>
  <c r="G5" i="9"/>
  <c r="I28" i="9"/>
  <c r="K28" i="9" s="1"/>
  <c r="H45" i="1"/>
  <c r="I24" i="9"/>
  <c r="K24" i="9" s="1"/>
  <c r="I49" i="9"/>
  <c r="K49" i="9" s="1"/>
  <c r="I50" i="9"/>
  <c r="K50" i="9" s="1"/>
  <c r="H26" i="1"/>
  <c r="I22" i="9"/>
  <c r="G7" i="9"/>
  <c r="H54" i="1"/>
  <c r="F9" i="1"/>
  <c r="I26" i="9"/>
  <c r="K26" i="9" s="1"/>
  <c r="I39" i="9"/>
  <c r="K39" i="9" s="1"/>
  <c r="H53" i="1"/>
  <c r="H44" i="1"/>
  <c r="I51" i="9"/>
  <c r="K51" i="9" s="1"/>
  <c r="I30" i="9"/>
  <c r="K30" i="9" s="1"/>
  <c r="G7" i="1"/>
  <c r="I18" i="9"/>
  <c r="K18" i="9" s="1"/>
  <c r="F10" i="1"/>
  <c r="I16" i="9"/>
  <c r="G10" i="9"/>
  <c r="H23" i="1"/>
  <c r="J23" i="1" s="1"/>
  <c r="F5" i="1"/>
  <c r="I57" i="9"/>
  <c r="K57" i="9" s="1"/>
  <c r="H41" i="1"/>
  <c r="I37" i="9"/>
  <c r="K37" i="9" s="1"/>
  <c r="G11" i="1"/>
  <c r="H32" i="1"/>
  <c r="J32" i="1" s="1"/>
  <c r="H18" i="1"/>
  <c r="J18" i="1" s="1"/>
  <c r="I62" i="9"/>
  <c r="K62" i="9" s="1"/>
  <c r="I46" i="9"/>
  <c r="K46" i="9" s="1"/>
  <c r="H28" i="1"/>
  <c r="I58" i="9"/>
  <c r="K58" i="9" s="1"/>
  <c r="G10" i="1"/>
  <c r="I54" i="9"/>
  <c r="K54" i="9" s="1"/>
  <c r="I21" i="9"/>
  <c r="K21" i="9" s="1"/>
  <c r="H8" i="9"/>
  <c r="H48" i="1"/>
  <c r="H43" i="1"/>
  <c r="H5" i="9"/>
  <c r="G8" i="1"/>
  <c r="H49" i="1"/>
  <c r="F11" i="1"/>
  <c r="Z17" i="1"/>
  <c r="AA17" i="1"/>
  <c r="P27" i="9" l="1"/>
  <c r="P17" i="9"/>
  <c r="K42" i="1"/>
  <c r="K16" i="1"/>
  <c r="K30" i="1"/>
  <c r="K23" i="1"/>
  <c r="K46" i="1"/>
  <c r="K34" i="1"/>
  <c r="K51" i="1"/>
  <c r="K50" i="1"/>
  <c r="K18" i="1"/>
  <c r="K32" i="1"/>
  <c r="K64" i="1"/>
  <c r="K29" i="1"/>
  <c r="K65" i="1"/>
  <c r="K21" i="1"/>
  <c r="L58" i="9"/>
  <c r="L57" i="9"/>
  <c r="L30" i="9"/>
  <c r="L25" i="9"/>
  <c r="L56" i="9"/>
  <c r="L33" i="9"/>
  <c r="L34" i="9"/>
  <c r="L28" i="9"/>
  <c r="L48" i="9"/>
  <c r="L59" i="9"/>
  <c r="L46" i="9"/>
  <c r="L51" i="9"/>
  <c r="L41" i="9"/>
  <c r="L64" i="9"/>
  <c r="L63" i="9"/>
  <c r="L53" i="9"/>
  <c r="L47" i="9"/>
  <c r="L62" i="9"/>
  <c r="L44" i="9"/>
  <c r="L40" i="9"/>
  <c r="L42" i="9"/>
  <c r="L66" i="9"/>
  <c r="L32" i="9"/>
  <c r="L50" i="9"/>
  <c r="L36" i="9"/>
  <c r="L35" i="9"/>
  <c r="L39" i="9"/>
  <c r="L49" i="9"/>
  <c r="L65" i="9"/>
  <c r="L60" i="9"/>
  <c r="L45" i="9"/>
  <c r="L55" i="9"/>
  <c r="L21" i="9"/>
  <c r="L54" i="9"/>
  <c r="L26" i="9"/>
  <c r="L24" i="9"/>
  <c r="L29" i="9"/>
  <c r="L37" i="9"/>
  <c r="L52" i="9"/>
  <c r="L31" i="9"/>
  <c r="L20" i="9"/>
  <c r="K22" i="9"/>
  <c r="K23" i="9"/>
  <c r="K19" i="9"/>
  <c r="K38" i="9"/>
  <c r="K43" i="9"/>
  <c r="K16" i="9"/>
  <c r="J52" i="1"/>
  <c r="J31" i="1"/>
  <c r="J38" i="1"/>
  <c r="J49" i="1"/>
  <c r="J47" i="1"/>
  <c r="J39" i="1"/>
  <c r="J33" i="1"/>
  <c r="J60" i="1"/>
  <c r="J45" i="1"/>
  <c r="J56" i="1"/>
  <c r="J25" i="1"/>
  <c r="J22" i="1"/>
  <c r="J40" i="1"/>
  <c r="J44" i="1"/>
  <c r="J28" i="1"/>
  <c r="J53" i="1"/>
  <c r="J35" i="1"/>
  <c r="J20" i="1"/>
  <c r="J62" i="1"/>
  <c r="J55" i="1"/>
  <c r="J19" i="1"/>
  <c r="J36" i="1"/>
  <c r="J37" i="1"/>
  <c r="J54" i="1"/>
  <c r="J66" i="1"/>
  <c r="K66" i="1" s="1"/>
  <c r="L66" i="1" s="1"/>
  <c r="M66" i="1" s="1"/>
  <c r="N66" i="1" s="1"/>
  <c r="O66" i="1" s="1"/>
  <c r="P66" i="1" s="1"/>
  <c r="Q66" i="1" s="1"/>
  <c r="R66" i="1" s="1"/>
  <c r="S66" i="1" s="1"/>
  <c r="T66" i="1" s="1"/>
  <c r="U66" i="1" s="1"/>
  <c r="V66" i="1" s="1"/>
  <c r="J43" i="1"/>
  <c r="J48" i="1"/>
  <c r="J41" i="1"/>
  <c r="J26" i="1"/>
  <c r="J57" i="1"/>
  <c r="J63" i="1"/>
  <c r="J59" i="1"/>
  <c r="J58" i="1"/>
  <c r="H7" i="1"/>
  <c r="H5" i="1"/>
  <c r="I11" i="9"/>
  <c r="I9" i="9"/>
  <c r="H8" i="1"/>
  <c r="H11" i="1"/>
  <c r="I7" i="9"/>
  <c r="H9" i="1"/>
  <c r="I10" i="9"/>
  <c r="H10" i="1"/>
  <c r="Y17" i="1"/>
  <c r="I5" i="9"/>
  <c r="I8" i="9"/>
  <c r="AA27" i="1"/>
  <c r="AB27" i="1"/>
  <c r="Q27" i="9" l="1"/>
  <c r="Q17" i="9"/>
  <c r="K54" i="1"/>
  <c r="K57" i="1"/>
  <c r="K37" i="1"/>
  <c r="K28" i="1"/>
  <c r="K60" i="1"/>
  <c r="L29" i="1"/>
  <c r="L50" i="1"/>
  <c r="L23" i="1"/>
  <c r="K26" i="1"/>
  <c r="K33" i="1"/>
  <c r="K41" i="1"/>
  <c r="K19" i="1"/>
  <c r="K40" i="1"/>
  <c r="K39" i="1"/>
  <c r="L64" i="1"/>
  <c r="L51" i="1"/>
  <c r="L30" i="1"/>
  <c r="K52" i="1"/>
  <c r="K48" i="1"/>
  <c r="K55" i="1"/>
  <c r="K22" i="1"/>
  <c r="K47" i="1"/>
  <c r="K53" i="1"/>
  <c r="K43" i="1"/>
  <c r="K49" i="1"/>
  <c r="L21" i="1"/>
  <c r="L32" i="1"/>
  <c r="L34" i="1"/>
  <c r="L16" i="1"/>
  <c r="K63" i="1"/>
  <c r="K36" i="1"/>
  <c r="K58" i="1"/>
  <c r="K20" i="1"/>
  <c r="K56" i="1"/>
  <c r="K38" i="1"/>
  <c r="K45" i="1"/>
  <c r="K44" i="1"/>
  <c r="K59" i="1"/>
  <c r="K35" i="1"/>
  <c r="K31" i="1"/>
  <c r="L65" i="1"/>
  <c r="L18" i="1"/>
  <c r="L46" i="1"/>
  <c r="L42" i="1"/>
  <c r="L19" i="9"/>
  <c r="L18" i="9"/>
  <c r="M52" i="9"/>
  <c r="M24" i="9"/>
  <c r="M55" i="9"/>
  <c r="M49" i="9"/>
  <c r="M50" i="9"/>
  <c r="M40" i="9"/>
  <c r="M53" i="9"/>
  <c r="M51" i="9"/>
  <c r="M28" i="9"/>
  <c r="M25" i="9"/>
  <c r="L23" i="9"/>
  <c r="L22" i="9"/>
  <c r="M37" i="9"/>
  <c r="M26" i="9"/>
  <c r="M45" i="9"/>
  <c r="M39" i="9"/>
  <c r="M32" i="9"/>
  <c r="M44" i="9"/>
  <c r="M63" i="9"/>
  <c r="M46" i="9"/>
  <c r="M34" i="9"/>
  <c r="M30" i="9"/>
  <c r="M20" i="9"/>
  <c r="L16" i="9"/>
  <c r="M54" i="9"/>
  <c r="M60" i="9"/>
  <c r="M35" i="9"/>
  <c r="M66" i="9"/>
  <c r="M62" i="9"/>
  <c r="M64" i="9"/>
  <c r="M59" i="9"/>
  <c r="M33" i="9"/>
  <c r="M57" i="9"/>
  <c r="L43" i="9"/>
  <c r="L38" i="9"/>
  <c r="M31" i="9"/>
  <c r="M29" i="9"/>
  <c r="M21" i="9"/>
  <c r="M65" i="9"/>
  <c r="M36" i="9"/>
  <c r="M42" i="9"/>
  <c r="M47" i="9"/>
  <c r="M41" i="9"/>
  <c r="M48" i="9"/>
  <c r="M56" i="9"/>
  <c r="M58" i="9"/>
  <c r="K62" i="1"/>
  <c r="K25" i="1"/>
  <c r="Z24" i="9"/>
  <c r="AA66" i="1"/>
  <c r="AB66" i="1"/>
  <c r="Z66" i="1"/>
  <c r="Z27" i="1"/>
  <c r="R17" i="9" l="1"/>
  <c r="R27" i="9"/>
  <c r="AB17" i="9"/>
  <c r="S17" i="9"/>
  <c r="AC17" i="9"/>
  <c r="L62" i="1"/>
  <c r="M18" i="1"/>
  <c r="L35" i="1"/>
  <c r="L38" i="1"/>
  <c r="L58" i="1"/>
  <c r="M34" i="1"/>
  <c r="L43" i="1"/>
  <c r="L55" i="1"/>
  <c r="M51" i="1"/>
  <c r="L19" i="1"/>
  <c r="M23" i="1"/>
  <c r="L28" i="1"/>
  <c r="M65" i="1"/>
  <c r="L59" i="1"/>
  <c r="L56" i="1"/>
  <c r="L36" i="1"/>
  <c r="M32" i="1"/>
  <c r="L53" i="1"/>
  <c r="L48" i="1"/>
  <c r="M64" i="1"/>
  <c r="L41" i="1"/>
  <c r="M50" i="1"/>
  <c r="L37" i="1"/>
  <c r="L25" i="1"/>
  <c r="M42" i="1"/>
  <c r="L31" i="1"/>
  <c r="L44" i="1"/>
  <c r="L20" i="1"/>
  <c r="L63" i="1"/>
  <c r="M21" i="1"/>
  <c r="L47" i="1"/>
  <c r="L52" i="1"/>
  <c r="L39" i="1"/>
  <c r="L33" i="1"/>
  <c r="M29" i="1"/>
  <c r="L57" i="1"/>
  <c r="M46" i="1"/>
  <c r="L45" i="1"/>
  <c r="M16" i="1"/>
  <c r="L49" i="1"/>
  <c r="L22" i="1"/>
  <c r="M30" i="1"/>
  <c r="L40" i="1"/>
  <c r="L26" i="1"/>
  <c r="L60" i="1"/>
  <c r="L54" i="1"/>
  <c r="N56" i="9"/>
  <c r="N42" i="9"/>
  <c r="N29" i="9"/>
  <c r="N57" i="9"/>
  <c r="N62" i="9"/>
  <c r="N54" i="9"/>
  <c r="N30" i="9"/>
  <c r="N44" i="9"/>
  <c r="N26" i="9"/>
  <c r="N25" i="9"/>
  <c r="N40" i="9"/>
  <c r="N24" i="9"/>
  <c r="N48" i="9"/>
  <c r="N36" i="9"/>
  <c r="N31" i="9"/>
  <c r="N33" i="9"/>
  <c r="N66" i="9"/>
  <c r="N34" i="9"/>
  <c r="N32" i="9"/>
  <c r="N37" i="9"/>
  <c r="N28" i="9"/>
  <c r="N50" i="9"/>
  <c r="N52" i="9"/>
  <c r="N41" i="9"/>
  <c r="N65" i="9"/>
  <c r="M38" i="9"/>
  <c r="N59" i="9"/>
  <c r="N35" i="9"/>
  <c r="M16" i="9"/>
  <c r="N46" i="9"/>
  <c r="N39" i="9"/>
  <c r="M22" i="9"/>
  <c r="N51" i="9"/>
  <c r="N49" i="9"/>
  <c r="M18" i="9"/>
  <c r="N58" i="9"/>
  <c r="N47" i="9"/>
  <c r="N21" i="9"/>
  <c r="M43" i="9"/>
  <c r="N64" i="9"/>
  <c r="N60" i="9"/>
  <c r="N20" i="9"/>
  <c r="N63" i="9"/>
  <c r="N45" i="9"/>
  <c r="M23" i="9"/>
  <c r="N53" i="9"/>
  <c r="N55" i="9"/>
  <c r="M19" i="9"/>
  <c r="AA24" i="9"/>
  <c r="Y66" i="1"/>
  <c r="Y27" i="1"/>
  <c r="S27" i="9" l="1"/>
  <c r="AC27" i="9"/>
  <c r="AB27" i="9"/>
  <c r="T17" i="9"/>
  <c r="M54" i="1"/>
  <c r="N30" i="1"/>
  <c r="M57" i="1"/>
  <c r="M52" i="1"/>
  <c r="M20" i="1"/>
  <c r="M25" i="1"/>
  <c r="N64" i="1"/>
  <c r="M36" i="1"/>
  <c r="M28" i="1"/>
  <c r="M55" i="1"/>
  <c r="M38" i="1"/>
  <c r="M60" i="1"/>
  <c r="M22" i="1"/>
  <c r="M45" i="1"/>
  <c r="N29" i="1"/>
  <c r="M47" i="1"/>
  <c r="M44" i="1"/>
  <c r="M37" i="1"/>
  <c r="M48" i="1"/>
  <c r="M56" i="1"/>
  <c r="N23" i="1"/>
  <c r="M43" i="1"/>
  <c r="M35" i="1"/>
  <c r="M26" i="1"/>
  <c r="M49" i="1"/>
  <c r="M33" i="1"/>
  <c r="N21" i="1"/>
  <c r="M31" i="1"/>
  <c r="N50" i="1"/>
  <c r="M53" i="1"/>
  <c r="M59" i="1"/>
  <c r="M19" i="1"/>
  <c r="N34" i="1"/>
  <c r="N18" i="1"/>
  <c r="M40" i="1"/>
  <c r="N16" i="1"/>
  <c r="N46" i="1"/>
  <c r="M39" i="1"/>
  <c r="M63" i="1"/>
  <c r="N42" i="1"/>
  <c r="M41" i="1"/>
  <c r="N32" i="1"/>
  <c r="N65" i="1"/>
  <c r="N51" i="1"/>
  <c r="M58" i="1"/>
  <c r="M62" i="1"/>
  <c r="O55" i="9"/>
  <c r="O63" i="9"/>
  <c r="N43" i="9"/>
  <c r="N18" i="9"/>
  <c r="O39" i="9"/>
  <c r="O59" i="9"/>
  <c r="O52" i="9"/>
  <c r="O32" i="9"/>
  <c r="O33" i="9"/>
  <c r="O24" i="9"/>
  <c r="O44" i="9"/>
  <c r="O57" i="9"/>
  <c r="O53" i="9"/>
  <c r="O20" i="9"/>
  <c r="O21" i="9"/>
  <c r="O49" i="9"/>
  <c r="O46" i="9"/>
  <c r="N38" i="9"/>
  <c r="O50" i="9"/>
  <c r="O34" i="9"/>
  <c r="O31" i="9"/>
  <c r="O40" i="9"/>
  <c r="O30" i="9"/>
  <c r="O29" i="9"/>
  <c r="N23" i="9"/>
  <c r="O60" i="9"/>
  <c r="O47" i="9"/>
  <c r="O51" i="9"/>
  <c r="N16" i="9"/>
  <c r="O65" i="9"/>
  <c r="O28" i="9"/>
  <c r="O36" i="9"/>
  <c r="O25" i="9"/>
  <c r="O54" i="9"/>
  <c r="O42" i="9"/>
  <c r="N19" i="9"/>
  <c r="O45" i="9"/>
  <c r="O64" i="9"/>
  <c r="O58" i="9"/>
  <c r="N22" i="9"/>
  <c r="O35" i="9"/>
  <c r="O41" i="9"/>
  <c r="O37" i="9"/>
  <c r="O66" i="9"/>
  <c r="O48" i="9"/>
  <c r="O26" i="9"/>
  <c r="O62" i="9"/>
  <c r="O56" i="9"/>
  <c r="AB24" i="9"/>
  <c r="U17" i="9" l="1"/>
  <c r="T27" i="9"/>
  <c r="N45" i="1"/>
  <c r="N55" i="1"/>
  <c r="O64" i="1"/>
  <c r="N43" i="1"/>
  <c r="N58" i="1"/>
  <c r="N39" i="1"/>
  <c r="N59" i="1"/>
  <c r="N49" i="1"/>
  <c r="O23" i="1"/>
  <c r="N44" i="1"/>
  <c r="N22" i="1"/>
  <c r="O50" i="1"/>
  <c r="N31" i="1"/>
  <c r="N41" i="1"/>
  <c r="O18" i="1"/>
  <c r="N20" i="1"/>
  <c r="O16" i="1"/>
  <c r="N37" i="1"/>
  <c r="N40" i="1"/>
  <c r="N25" i="1"/>
  <c r="O51" i="1"/>
  <c r="N53" i="1"/>
  <c r="O21" i="1"/>
  <c r="N26" i="1"/>
  <c r="N56" i="1"/>
  <c r="N47" i="1"/>
  <c r="N60" i="1"/>
  <c r="N36" i="1"/>
  <c r="O30" i="1"/>
  <c r="O65" i="1"/>
  <c r="O32" i="1"/>
  <c r="N28" i="1"/>
  <c r="O46" i="1"/>
  <c r="N52" i="1"/>
  <c r="N62" i="1"/>
  <c r="N57" i="1"/>
  <c r="N63" i="1"/>
  <c r="N19" i="1"/>
  <c r="O42" i="1"/>
  <c r="O34" i="1"/>
  <c r="N33" i="1"/>
  <c r="N35" i="1"/>
  <c r="N48" i="1"/>
  <c r="O29" i="1"/>
  <c r="N38" i="1"/>
  <c r="N54" i="1"/>
  <c r="P54" i="9"/>
  <c r="O16" i="9"/>
  <c r="P40" i="9"/>
  <c r="P50" i="9"/>
  <c r="P49" i="9"/>
  <c r="P24" i="9"/>
  <c r="O18" i="9"/>
  <c r="P45" i="9"/>
  <c r="O23" i="9"/>
  <c r="P53" i="9"/>
  <c r="P52" i="9"/>
  <c r="P56" i="9"/>
  <c r="P48" i="9"/>
  <c r="P28" i="9"/>
  <c r="O38" i="9"/>
  <c r="O43" i="9"/>
  <c r="P41" i="9"/>
  <c r="P58" i="9"/>
  <c r="O19" i="9"/>
  <c r="P25" i="9"/>
  <c r="P51" i="9"/>
  <c r="P31" i="9"/>
  <c r="P21" i="9"/>
  <c r="P57" i="9"/>
  <c r="P33" i="9"/>
  <c r="P37" i="9"/>
  <c r="P29" i="9"/>
  <c r="P59" i="9"/>
  <c r="O22" i="9"/>
  <c r="P62" i="9"/>
  <c r="P66" i="9"/>
  <c r="P42" i="9"/>
  <c r="P36" i="9"/>
  <c r="P47" i="9"/>
  <c r="P34" i="9"/>
  <c r="P46" i="9"/>
  <c r="P63" i="9"/>
  <c r="P35" i="9"/>
  <c r="P64" i="9"/>
  <c r="P65" i="9"/>
  <c r="P30" i="9"/>
  <c r="P44" i="9"/>
  <c r="P32" i="9"/>
  <c r="P39" i="9"/>
  <c r="P26" i="9"/>
  <c r="P60" i="9"/>
  <c r="P20" i="9"/>
  <c r="P55" i="9"/>
  <c r="AC24" i="9"/>
  <c r="U27" i="9" l="1"/>
  <c r="V17" i="9"/>
  <c r="P29" i="1"/>
  <c r="O33" i="1"/>
  <c r="P46" i="1"/>
  <c r="O53" i="1"/>
  <c r="O25" i="1"/>
  <c r="O41" i="1"/>
  <c r="P50" i="1"/>
  <c r="O63" i="1"/>
  <c r="O56" i="1"/>
  <c r="P16" i="1"/>
  <c r="O54" i="1"/>
  <c r="P65" i="1"/>
  <c r="O60" i="1"/>
  <c r="O49" i="1"/>
  <c r="P64" i="1"/>
  <c r="O48" i="1"/>
  <c r="O26" i="1"/>
  <c r="O22" i="1"/>
  <c r="P23" i="1"/>
  <c r="P34" i="1"/>
  <c r="O57" i="1"/>
  <c r="O52" i="1"/>
  <c r="O28" i="1"/>
  <c r="P30" i="1"/>
  <c r="P51" i="1"/>
  <c r="O40" i="1"/>
  <c r="O20" i="1"/>
  <c r="O31" i="1"/>
  <c r="O58" i="1"/>
  <c r="O62" i="1"/>
  <c r="O39" i="1"/>
  <c r="O19" i="1"/>
  <c r="O47" i="1"/>
  <c r="O44" i="1"/>
  <c r="O59" i="1"/>
  <c r="O55" i="1"/>
  <c r="O38" i="1"/>
  <c r="O35" i="1"/>
  <c r="P21" i="1"/>
  <c r="O37" i="1"/>
  <c r="P42" i="1"/>
  <c r="P32" i="1"/>
  <c r="O36" i="1"/>
  <c r="P18" i="1"/>
  <c r="O43" i="1"/>
  <c r="O45" i="1"/>
  <c r="Q37" i="9"/>
  <c r="Q21" i="9"/>
  <c r="Q41" i="9"/>
  <c r="P38" i="9"/>
  <c r="Q56" i="9"/>
  <c r="P23" i="9"/>
  <c r="P18" i="9"/>
  <c r="Q50" i="9"/>
  <c r="Q54" i="9"/>
  <c r="Q65" i="9"/>
  <c r="Q60" i="9"/>
  <c r="Q44" i="9"/>
  <c r="Q55" i="9"/>
  <c r="Q63" i="9"/>
  <c r="Q47" i="9"/>
  <c r="Q42" i="9"/>
  <c r="P22" i="9"/>
  <c r="Q39" i="9"/>
  <c r="Q64" i="9"/>
  <c r="Q31" i="9"/>
  <c r="P19" i="9"/>
  <c r="Q28" i="9"/>
  <c r="Q52" i="9"/>
  <c r="Q24" i="9"/>
  <c r="Q66" i="9"/>
  <c r="Q33" i="9"/>
  <c r="Q45" i="9"/>
  <c r="Q40" i="9"/>
  <c r="Q26" i="9"/>
  <c r="Q46" i="9"/>
  <c r="Q59" i="9"/>
  <c r="Q51" i="9"/>
  <c r="P43" i="9"/>
  <c r="Q20" i="9"/>
  <c r="Q32" i="9"/>
  <c r="Q30" i="9"/>
  <c r="Q35" i="9"/>
  <c r="Q36" i="9"/>
  <c r="Q62" i="9"/>
  <c r="Q58" i="9"/>
  <c r="Q49" i="9"/>
  <c r="P16" i="9"/>
  <c r="Q34" i="9"/>
  <c r="Q29" i="9"/>
  <c r="Q57" i="9"/>
  <c r="Q25" i="9"/>
  <c r="Q48" i="9"/>
  <c r="Q53" i="9"/>
  <c r="W17" i="9" l="1"/>
  <c r="Z17" i="9"/>
  <c r="V27" i="9"/>
  <c r="P62" i="1"/>
  <c r="P40" i="1"/>
  <c r="Q34" i="1"/>
  <c r="AA34" i="1" s="1"/>
  <c r="Q16" i="1"/>
  <c r="AB16" i="1" s="1"/>
  <c r="Q29" i="1"/>
  <c r="P43" i="1"/>
  <c r="P36" i="1"/>
  <c r="P59" i="1"/>
  <c r="P28" i="1"/>
  <c r="P60" i="1"/>
  <c r="P41" i="1"/>
  <c r="Q46" i="1"/>
  <c r="P58" i="1"/>
  <c r="P48" i="1"/>
  <c r="Q51" i="1"/>
  <c r="AA51" i="1" s="1"/>
  <c r="P52" i="1"/>
  <c r="Q65" i="1"/>
  <c r="P56" i="1"/>
  <c r="P25" i="1"/>
  <c r="P37" i="1"/>
  <c r="Q23" i="1"/>
  <c r="AA23" i="1" s="1"/>
  <c r="Q21" i="1"/>
  <c r="P38" i="1"/>
  <c r="P44" i="1"/>
  <c r="P31" i="1"/>
  <c r="P22" i="1"/>
  <c r="Q42" i="1"/>
  <c r="P35" i="1"/>
  <c r="P19" i="1"/>
  <c r="Q32" i="1"/>
  <c r="AA32" i="1" s="1"/>
  <c r="Q18" i="1"/>
  <c r="AA18" i="1" s="1"/>
  <c r="P57" i="1"/>
  <c r="Q64" i="1"/>
  <c r="P63" i="1"/>
  <c r="P55" i="1"/>
  <c r="P47" i="1"/>
  <c r="P39" i="1"/>
  <c r="P20" i="1"/>
  <c r="P54" i="1"/>
  <c r="P53" i="1"/>
  <c r="P33" i="1"/>
  <c r="P45" i="1"/>
  <c r="Q30" i="1"/>
  <c r="P26" i="1"/>
  <c r="P49" i="1"/>
  <c r="Q50" i="1"/>
  <c r="AA50" i="1" s="1"/>
  <c r="R35" i="9"/>
  <c r="R24" i="9"/>
  <c r="Q16" i="9"/>
  <c r="R42" i="9"/>
  <c r="R55" i="9"/>
  <c r="R29" i="9"/>
  <c r="R39" i="9"/>
  <c r="R65" i="9"/>
  <c r="Q23" i="9"/>
  <c r="R57" i="9"/>
  <c r="R46" i="9"/>
  <c r="Q19" i="9"/>
  <c r="Q18" i="9"/>
  <c r="R41" i="9"/>
  <c r="R48" i="9"/>
  <c r="R49" i="9"/>
  <c r="R62" i="9"/>
  <c r="R26" i="9"/>
  <c r="R52" i="9"/>
  <c r="R31" i="9"/>
  <c r="R53" i="9"/>
  <c r="R30" i="9"/>
  <c r="R51" i="9"/>
  <c r="R33" i="9"/>
  <c r="R20" i="9"/>
  <c r="R47" i="9"/>
  <c r="R44" i="9"/>
  <c r="R54" i="9"/>
  <c r="R34" i="9"/>
  <c r="R36" i="9"/>
  <c r="R32" i="9"/>
  <c r="R59" i="9"/>
  <c r="R40" i="9"/>
  <c r="R56" i="9"/>
  <c r="R21" i="9"/>
  <c r="R25" i="9"/>
  <c r="R66" i="9"/>
  <c r="R28" i="9"/>
  <c r="R60" i="9"/>
  <c r="R50" i="9"/>
  <c r="R58" i="9"/>
  <c r="Q43" i="9"/>
  <c r="R45" i="9"/>
  <c r="R64" i="9"/>
  <c r="Q22" i="9"/>
  <c r="R63" i="9"/>
  <c r="Q38" i="9"/>
  <c r="R37" i="9"/>
  <c r="W27" i="9" l="1"/>
  <c r="Z27" i="9"/>
  <c r="AA17" i="9"/>
  <c r="AB35" i="9"/>
  <c r="AA16" i="1"/>
  <c r="R16" i="1"/>
  <c r="Q26" i="1"/>
  <c r="Q31" i="1"/>
  <c r="R46" i="1"/>
  <c r="S46" i="1" s="1"/>
  <c r="T46" i="1" s="1"/>
  <c r="U46" i="1" s="1"/>
  <c r="V46" i="1" s="1"/>
  <c r="Z46" i="1" s="1"/>
  <c r="AB46" i="1"/>
  <c r="R29" i="1"/>
  <c r="S29" i="1" s="1"/>
  <c r="T29" i="1" s="1"/>
  <c r="U29" i="1" s="1"/>
  <c r="V29" i="1" s="1"/>
  <c r="Z29" i="1" s="1"/>
  <c r="AB29" i="1"/>
  <c r="AA29" i="1"/>
  <c r="AA46" i="1"/>
  <c r="Q47" i="1"/>
  <c r="Q57" i="1"/>
  <c r="AA57" i="1" s="1"/>
  <c r="R42" i="1"/>
  <c r="S42" i="1" s="1"/>
  <c r="T42" i="1" s="1"/>
  <c r="U42" i="1" s="1"/>
  <c r="V42" i="1" s="1"/>
  <c r="Z42" i="1" s="1"/>
  <c r="AB42" i="1"/>
  <c r="R21" i="1"/>
  <c r="S21" i="1" s="1"/>
  <c r="T21" i="1" s="1"/>
  <c r="U21" i="1" s="1"/>
  <c r="V21" i="1" s="1"/>
  <c r="Z21" i="1" s="1"/>
  <c r="AB21" i="1"/>
  <c r="AA21" i="1"/>
  <c r="R65" i="1"/>
  <c r="AB65" i="1"/>
  <c r="Q36" i="1"/>
  <c r="AA36" i="1" s="1"/>
  <c r="Q40" i="1"/>
  <c r="AA40" i="1" s="1"/>
  <c r="Q33" i="1"/>
  <c r="Q48" i="1"/>
  <c r="AA48" i="1" s="1"/>
  <c r="Q20" i="1"/>
  <c r="Q63" i="1"/>
  <c r="AA63" i="1" s="1"/>
  <c r="Q19" i="1"/>
  <c r="Q44" i="1"/>
  <c r="Q25" i="1"/>
  <c r="AA25" i="1" s="1"/>
  <c r="Q41" i="1"/>
  <c r="Q62" i="1"/>
  <c r="Q22" i="1"/>
  <c r="R23" i="1"/>
  <c r="S23" i="1" s="1"/>
  <c r="T23" i="1" s="1"/>
  <c r="U23" i="1" s="1"/>
  <c r="V23" i="1" s="1"/>
  <c r="Z23" i="1" s="1"/>
  <c r="AB23" i="1"/>
  <c r="Q52" i="1"/>
  <c r="Q28" i="1"/>
  <c r="AA28" i="1" s="1"/>
  <c r="R50" i="1"/>
  <c r="S50" i="1" s="1"/>
  <c r="T50" i="1" s="1"/>
  <c r="U50" i="1" s="1"/>
  <c r="V50" i="1" s="1"/>
  <c r="Z50" i="1" s="1"/>
  <c r="AB50" i="1"/>
  <c r="Q53" i="1"/>
  <c r="AA53" i="1" s="1"/>
  <c r="R18" i="1"/>
  <c r="S18" i="1" s="1"/>
  <c r="T18" i="1" s="1"/>
  <c r="U18" i="1" s="1"/>
  <c r="V18" i="1" s="1"/>
  <c r="Z18" i="1" s="1"/>
  <c r="AB18" i="1"/>
  <c r="Q39" i="1"/>
  <c r="AA39" i="1" s="1"/>
  <c r="Q55" i="1"/>
  <c r="Q56" i="1"/>
  <c r="Q59" i="1"/>
  <c r="Q43" i="1"/>
  <c r="R34" i="1"/>
  <c r="AB34" i="1"/>
  <c r="Q49" i="1"/>
  <c r="AA49" i="1" s="1"/>
  <c r="R64" i="1"/>
  <c r="S64" i="1" s="1"/>
  <c r="T64" i="1" s="1"/>
  <c r="U64" i="1" s="1"/>
  <c r="V64" i="1" s="1"/>
  <c r="Z64" i="1" s="1"/>
  <c r="AB64" i="1"/>
  <c r="AA64" i="1"/>
  <c r="Q35" i="1"/>
  <c r="Q38" i="1"/>
  <c r="Q58" i="1"/>
  <c r="R30" i="1"/>
  <c r="S30" i="1" s="1"/>
  <c r="T30" i="1" s="1"/>
  <c r="U30" i="1" s="1"/>
  <c r="V30" i="1" s="1"/>
  <c r="Z30" i="1" s="1"/>
  <c r="AB30" i="1"/>
  <c r="AA30" i="1"/>
  <c r="Q45" i="1"/>
  <c r="AA42" i="1"/>
  <c r="Q54" i="1"/>
  <c r="R32" i="1"/>
  <c r="S32" i="1" s="1"/>
  <c r="T32" i="1" s="1"/>
  <c r="U32" i="1" s="1"/>
  <c r="V32" i="1" s="1"/>
  <c r="Z32" i="1" s="1"/>
  <c r="AB32" i="1"/>
  <c r="Q37" i="1"/>
  <c r="AA65" i="1"/>
  <c r="R51" i="1"/>
  <c r="AB51" i="1"/>
  <c r="Q60" i="1"/>
  <c r="AB29" i="9"/>
  <c r="AB57" i="9"/>
  <c r="AB55" i="9"/>
  <c r="AB41" i="9"/>
  <c r="AB45" i="9"/>
  <c r="AB54" i="9"/>
  <c r="AB53" i="9"/>
  <c r="AB56" i="9"/>
  <c r="AB47" i="9"/>
  <c r="AB52" i="9"/>
  <c r="AB46" i="9"/>
  <c r="AB39" i="9"/>
  <c r="AB42" i="9"/>
  <c r="AB37" i="9"/>
  <c r="AB60" i="9"/>
  <c r="AB28" i="9"/>
  <c r="AB49" i="9"/>
  <c r="AB40" i="9"/>
  <c r="AB59" i="9"/>
  <c r="AB66" i="9"/>
  <c r="AB36" i="9"/>
  <c r="AB48" i="9"/>
  <c r="AB65" i="9"/>
  <c r="S41" i="9"/>
  <c r="AC41" i="9"/>
  <c r="S29" i="9"/>
  <c r="AC29" i="9"/>
  <c r="S30" i="9"/>
  <c r="AC30" i="9"/>
  <c r="S56" i="9"/>
  <c r="AC56" i="9"/>
  <c r="S34" i="9"/>
  <c r="AC34" i="9"/>
  <c r="S33" i="9"/>
  <c r="AC33" i="9"/>
  <c r="AB33" i="9"/>
  <c r="S52" i="9"/>
  <c r="AC52" i="9"/>
  <c r="S46" i="9"/>
  <c r="AC46" i="9"/>
  <c r="R23" i="9"/>
  <c r="R16" i="9"/>
  <c r="S60" i="9"/>
  <c r="AC60" i="9"/>
  <c r="S25" i="9"/>
  <c r="AC25" i="9"/>
  <c r="AB25" i="9"/>
  <c r="S32" i="9"/>
  <c r="AC32" i="9"/>
  <c r="S47" i="9"/>
  <c r="AC47" i="9"/>
  <c r="S53" i="9"/>
  <c r="AC53" i="9"/>
  <c r="S49" i="9"/>
  <c r="AC49" i="9"/>
  <c r="R38" i="9"/>
  <c r="S50" i="9"/>
  <c r="AC50" i="9"/>
  <c r="R19" i="9"/>
  <c r="S51" i="9"/>
  <c r="AC51" i="9"/>
  <c r="AB51" i="9"/>
  <c r="R18" i="9"/>
  <c r="S65" i="9"/>
  <c r="AC65" i="9"/>
  <c r="S55" i="9"/>
  <c r="AC55" i="9"/>
  <c r="S24" i="9"/>
  <c r="R22" i="9"/>
  <c r="R43" i="9"/>
  <c r="S44" i="9"/>
  <c r="AC44" i="9"/>
  <c r="AB44" i="9"/>
  <c r="S63" i="9"/>
  <c r="AC63" i="9"/>
  <c r="AB63" i="9"/>
  <c r="S37" i="9"/>
  <c r="AC37" i="9"/>
  <c r="S28" i="9"/>
  <c r="AC28" i="9"/>
  <c r="S40" i="9"/>
  <c r="AC40" i="9"/>
  <c r="AB30" i="9"/>
  <c r="S26" i="9"/>
  <c r="AC26" i="9"/>
  <c r="AB26" i="9"/>
  <c r="S42" i="9"/>
  <c r="AC42" i="9"/>
  <c r="S45" i="9"/>
  <c r="AC45" i="9"/>
  <c r="AB50" i="9"/>
  <c r="S21" i="9"/>
  <c r="AC21" i="9"/>
  <c r="AB21" i="9"/>
  <c r="S54" i="9"/>
  <c r="AC54" i="9"/>
  <c r="S48" i="9"/>
  <c r="AC48" i="9"/>
  <c r="S57" i="9"/>
  <c r="AC57" i="9"/>
  <c r="AB32" i="9"/>
  <c r="S64" i="9"/>
  <c r="AC64" i="9"/>
  <c r="AB64" i="9"/>
  <c r="S58" i="9"/>
  <c r="AC58" i="9"/>
  <c r="AB58" i="9"/>
  <c r="S66" i="9"/>
  <c r="AC66" i="9"/>
  <c r="S59" i="9"/>
  <c r="AC59" i="9"/>
  <c r="S36" i="9"/>
  <c r="AC36" i="9"/>
  <c r="S20" i="9"/>
  <c r="AC20" i="9"/>
  <c r="AB20" i="9"/>
  <c r="S31" i="9"/>
  <c r="AC31" i="9"/>
  <c r="AB31" i="9"/>
  <c r="S62" i="9"/>
  <c r="AC62" i="9"/>
  <c r="AB62" i="9"/>
  <c r="S39" i="9"/>
  <c r="AC39" i="9"/>
  <c r="S35" i="9"/>
  <c r="AC35" i="9"/>
  <c r="AB34" i="9"/>
  <c r="AA27" i="9" l="1"/>
  <c r="T39" i="9"/>
  <c r="T50" i="9"/>
  <c r="T20" i="9"/>
  <c r="AB16" i="9"/>
  <c r="T65" i="9"/>
  <c r="T41" i="9"/>
  <c r="T55" i="9"/>
  <c r="T62" i="9"/>
  <c r="T54" i="9"/>
  <c r="T42" i="9"/>
  <c r="T28" i="9"/>
  <c r="T44" i="9"/>
  <c r="T56" i="9"/>
  <c r="T59" i="9"/>
  <c r="T64" i="9"/>
  <c r="T37" i="9"/>
  <c r="T25" i="9"/>
  <c r="T52" i="9"/>
  <c r="T47" i="9"/>
  <c r="T66" i="9"/>
  <c r="T21" i="9"/>
  <c r="T26" i="9"/>
  <c r="T24" i="9"/>
  <c r="T51" i="9"/>
  <c r="T30" i="9"/>
  <c r="S16" i="1"/>
  <c r="Y42" i="1"/>
  <c r="Y23" i="1"/>
  <c r="Y29" i="1"/>
  <c r="Y18" i="1"/>
  <c r="Y21" i="1"/>
  <c r="Y32" i="1"/>
  <c r="Y30" i="1"/>
  <c r="R45" i="1"/>
  <c r="S45" i="1" s="1"/>
  <c r="T45" i="1" s="1"/>
  <c r="U45" i="1" s="1"/>
  <c r="V45" i="1" s="1"/>
  <c r="Z45" i="1" s="1"/>
  <c r="AB45" i="1"/>
  <c r="R35" i="1"/>
  <c r="S35" i="1" s="1"/>
  <c r="T35" i="1" s="1"/>
  <c r="U35" i="1" s="1"/>
  <c r="V35" i="1" s="1"/>
  <c r="Z35" i="1" s="1"/>
  <c r="AB35" i="1"/>
  <c r="R56" i="1"/>
  <c r="S56" i="1" s="1"/>
  <c r="T56" i="1" s="1"/>
  <c r="U56" i="1" s="1"/>
  <c r="V56" i="1" s="1"/>
  <c r="Z56" i="1" s="1"/>
  <c r="AB56" i="1"/>
  <c r="R41" i="1"/>
  <c r="S41" i="1" s="1"/>
  <c r="T41" i="1" s="1"/>
  <c r="U41" i="1" s="1"/>
  <c r="V41" i="1" s="1"/>
  <c r="Z41" i="1" s="1"/>
  <c r="AB41" i="1"/>
  <c r="AA41" i="1"/>
  <c r="R44" i="1"/>
  <c r="S44" i="1" s="1"/>
  <c r="T44" i="1" s="1"/>
  <c r="U44" i="1" s="1"/>
  <c r="V44" i="1" s="1"/>
  <c r="Z44" i="1" s="1"/>
  <c r="AB44" i="1"/>
  <c r="R33" i="1"/>
  <c r="S33" i="1" s="1"/>
  <c r="T33" i="1" s="1"/>
  <c r="U33" i="1" s="1"/>
  <c r="V33" i="1" s="1"/>
  <c r="Z33" i="1" s="1"/>
  <c r="AB33" i="1"/>
  <c r="R26" i="1"/>
  <c r="S26" i="1" s="1"/>
  <c r="T26" i="1" s="1"/>
  <c r="U26" i="1" s="1"/>
  <c r="V26" i="1" s="1"/>
  <c r="Z26" i="1" s="1"/>
  <c r="AB26" i="1"/>
  <c r="S34" i="1"/>
  <c r="T34" i="1" s="1"/>
  <c r="U34" i="1" s="1"/>
  <c r="V34" i="1" s="1"/>
  <c r="Z34" i="1" s="1"/>
  <c r="AA31" i="1"/>
  <c r="R20" i="1"/>
  <c r="S20" i="1" s="1"/>
  <c r="T20" i="1" s="1"/>
  <c r="U20" i="1" s="1"/>
  <c r="V20" i="1" s="1"/>
  <c r="Z20" i="1" s="1"/>
  <c r="AB20" i="1"/>
  <c r="AA20" i="1"/>
  <c r="R47" i="1"/>
  <c r="AB47" i="1"/>
  <c r="AA47" i="1"/>
  <c r="R37" i="1"/>
  <c r="S37" i="1" s="1"/>
  <c r="T37" i="1" s="1"/>
  <c r="U37" i="1" s="1"/>
  <c r="V37" i="1" s="1"/>
  <c r="Z37" i="1" s="1"/>
  <c r="AB37" i="1"/>
  <c r="AA37" i="1"/>
  <c r="R58" i="1"/>
  <c r="S58" i="1" s="1"/>
  <c r="T58" i="1" s="1"/>
  <c r="U58" i="1" s="1"/>
  <c r="V58" i="1" s="1"/>
  <c r="Z58" i="1" s="1"/>
  <c r="AB58" i="1"/>
  <c r="R22" i="1"/>
  <c r="AB22" i="1"/>
  <c r="AA22" i="1"/>
  <c r="R40" i="1"/>
  <c r="S40" i="1" s="1"/>
  <c r="T40" i="1" s="1"/>
  <c r="U40" i="1" s="1"/>
  <c r="V40" i="1" s="1"/>
  <c r="Z40" i="1" s="1"/>
  <c r="AB40" i="1"/>
  <c r="R43" i="1"/>
  <c r="S43" i="1" s="1"/>
  <c r="T43" i="1" s="1"/>
  <c r="U43" i="1" s="1"/>
  <c r="V43" i="1" s="1"/>
  <c r="Z43" i="1" s="1"/>
  <c r="AB43" i="1"/>
  <c r="AA43" i="1"/>
  <c r="R55" i="1"/>
  <c r="S55" i="1" s="1"/>
  <c r="T55" i="1" s="1"/>
  <c r="U55" i="1" s="1"/>
  <c r="V55" i="1" s="1"/>
  <c r="Z55" i="1" s="1"/>
  <c r="AB55" i="1"/>
  <c r="AA55" i="1"/>
  <c r="R28" i="1"/>
  <c r="AB28" i="1"/>
  <c r="AA58" i="1"/>
  <c r="R54" i="1"/>
  <c r="AB54" i="1"/>
  <c r="AA54" i="1"/>
  <c r="R38" i="1"/>
  <c r="S38" i="1" s="1"/>
  <c r="T38" i="1" s="1"/>
  <c r="U38" i="1" s="1"/>
  <c r="V38" i="1" s="1"/>
  <c r="Z38" i="1" s="1"/>
  <c r="AB38" i="1"/>
  <c r="AA38" i="1"/>
  <c r="R48" i="1"/>
  <c r="S48" i="1" s="1"/>
  <c r="T48" i="1" s="1"/>
  <c r="U48" i="1" s="1"/>
  <c r="V48" i="1" s="1"/>
  <c r="Z48" i="1" s="1"/>
  <c r="AB48" i="1"/>
  <c r="R36" i="1"/>
  <c r="AB36" i="1"/>
  <c r="AA35" i="1"/>
  <c r="R60" i="1"/>
  <c r="S60" i="1" s="1"/>
  <c r="T60" i="1" s="1"/>
  <c r="U60" i="1" s="1"/>
  <c r="V60" i="1" s="1"/>
  <c r="Z60" i="1" s="1"/>
  <c r="AB60" i="1"/>
  <c r="AA60" i="1"/>
  <c r="R59" i="1"/>
  <c r="S59" i="1" s="1"/>
  <c r="T59" i="1" s="1"/>
  <c r="U59" i="1" s="1"/>
  <c r="V59" i="1" s="1"/>
  <c r="Z59" i="1" s="1"/>
  <c r="AB59" i="1"/>
  <c r="AA59" i="1"/>
  <c r="R52" i="1"/>
  <c r="S52" i="1" s="1"/>
  <c r="T52" i="1" s="1"/>
  <c r="U52" i="1" s="1"/>
  <c r="V52" i="1" s="1"/>
  <c r="Z52" i="1" s="1"/>
  <c r="AB52" i="1"/>
  <c r="AA52" i="1"/>
  <c r="R62" i="1"/>
  <c r="AB62" i="1"/>
  <c r="AA62" i="1"/>
  <c r="R25" i="1"/>
  <c r="AB25" i="1"/>
  <c r="AA33" i="1"/>
  <c r="AA26" i="1"/>
  <c r="AA45" i="1"/>
  <c r="R19" i="1"/>
  <c r="S19" i="1" s="1"/>
  <c r="T19" i="1" s="1"/>
  <c r="U19" i="1" s="1"/>
  <c r="V19" i="1" s="1"/>
  <c r="Z19" i="1" s="1"/>
  <c r="AB19" i="1"/>
  <c r="AA19" i="1"/>
  <c r="R49" i="1"/>
  <c r="S49" i="1" s="1"/>
  <c r="T49" i="1" s="1"/>
  <c r="U49" i="1" s="1"/>
  <c r="V49" i="1" s="1"/>
  <c r="Z49" i="1" s="1"/>
  <c r="AB49" i="1"/>
  <c r="AA56" i="1"/>
  <c r="R53" i="1"/>
  <c r="S53" i="1" s="1"/>
  <c r="T53" i="1" s="1"/>
  <c r="U53" i="1" s="1"/>
  <c r="V53" i="1" s="1"/>
  <c r="Z53" i="1" s="1"/>
  <c r="AB53" i="1"/>
  <c r="AA44" i="1"/>
  <c r="R63" i="1"/>
  <c r="AB63" i="1"/>
  <c r="S65" i="1"/>
  <c r="T65" i="1" s="1"/>
  <c r="U65" i="1" s="1"/>
  <c r="V65" i="1" s="1"/>
  <c r="Z65" i="1" s="1"/>
  <c r="Y46" i="1"/>
  <c r="R31" i="1"/>
  <c r="S31" i="1" s="1"/>
  <c r="T31" i="1" s="1"/>
  <c r="U31" i="1" s="1"/>
  <c r="V31" i="1" s="1"/>
  <c r="Z31" i="1" s="1"/>
  <c r="AB31" i="1"/>
  <c r="S51" i="1"/>
  <c r="T51" i="1" s="1"/>
  <c r="U51" i="1" s="1"/>
  <c r="V51" i="1" s="1"/>
  <c r="Z51" i="1" s="1"/>
  <c r="R39" i="1"/>
  <c r="AB39" i="1"/>
  <c r="Y50" i="1"/>
  <c r="R57" i="1"/>
  <c r="S57" i="1" s="1"/>
  <c r="T57" i="1" s="1"/>
  <c r="U57" i="1" s="1"/>
  <c r="V57" i="1" s="1"/>
  <c r="AB57" i="1"/>
  <c r="Y64" i="1"/>
  <c r="AB22" i="9"/>
  <c r="AB43" i="9"/>
  <c r="AB19" i="9"/>
  <c r="AB38" i="9"/>
  <c r="T60" i="9"/>
  <c r="T31" i="9"/>
  <c r="T36" i="9"/>
  <c r="T45" i="9"/>
  <c r="T40" i="9"/>
  <c r="S22" i="9"/>
  <c r="AC22" i="9"/>
  <c r="T32" i="9"/>
  <c r="T35" i="9"/>
  <c r="S38" i="9"/>
  <c r="AC38" i="9"/>
  <c r="T53" i="9"/>
  <c r="S16" i="9"/>
  <c r="T34" i="9"/>
  <c r="T48" i="9"/>
  <c r="T29" i="9"/>
  <c r="S19" i="9"/>
  <c r="AC19" i="9"/>
  <c r="S23" i="9"/>
  <c r="AC23" i="9"/>
  <c r="AB23" i="9"/>
  <c r="T58" i="9"/>
  <c r="S18" i="9"/>
  <c r="AC18" i="9"/>
  <c r="AB18" i="9"/>
  <c r="T49" i="9"/>
  <c r="T57" i="9"/>
  <c r="T63" i="9"/>
  <c r="S43" i="9"/>
  <c r="AC43" i="9"/>
  <c r="T46" i="9"/>
  <c r="T33" i="9"/>
  <c r="AC16" i="9"/>
  <c r="U44" i="9" l="1"/>
  <c r="T43" i="9"/>
  <c r="U53" i="9"/>
  <c r="U51" i="9"/>
  <c r="U40" i="9"/>
  <c r="U24" i="9"/>
  <c r="U47" i="9"/>
  <c r="U64" i="9"/>
  <c r="U28" i="9"/>
  <c r="U55" i="9"/>
  <c r="U20" i="9"/>
  <c r="U66" i="9"/>
  <c r="U62" i="9"/>
  <c r="U58" i="9"/>
  <c r="U45" i="9"/>
  <c r="U57" i="9"/>
  <c r="U48" i="9"/>
  <c r="U36" i="9"/>
  <c r="U26" i="9"/>
  <c r="U52" i="9"/>
  <c r="U59" i="9"/>
  <c r="U42" i="9"/>
  <c r="U41" i="9"/>
  <c r="U50" i="9"/>
  <c r="U37" i="9"/>
  <c r="U31" i="9"/>
  <c r="U63" i="9"/>
  <c r="U33" i="9"/>
  <c r="U34" i="9"/>
  <c r="U35" i="9"/>
  <c r="U46" i="9"/>
  <c r="U49" i="9"/>
  <c r="T16" i="9"/>
  <c r="U32" i="9"/>
  <c r="U60" i="9"/>
  <c r="U30" i="9"/>
  <c r="U21" i="9"/>
  <c r="U25" i="9"/>
  <c r="U56" i="9"/>
  <c r="U54" i="9"/>
  <c r="U65" i="9"/>
  <c r="U39" i="9"/>
  <c r="T16" i="1"/>
  <c r="Y35" i="1"/>
  <c r="Y26" i="1"/>
  <c r="Y41" i="1"/>
  <c r="Y65" i="1"/>
  <c r="Y45" i="1"/>
  <c r="Y44" i="1"/>
  <c r="Y37" i="1"/>
  <c r="Y56" i="1"/>
  <c r="Y33" i="1"/>
  <c r="Y34" i="1"/>
  <c r="Y59" i="1"/>
  <c r="Y19" i="1"/>
  <c r="Y43" i="1"/>
  <c r="S39" i="1"/>
  <c r="T39" i="1" s="1"/>
  <c r="U39" i="1" s="1"/>
  <c r="V39" i="1" s="1"/>
  <c r="Z39" i="1" s="1"/>
  <c r="S25" i="1"/>
  <c r="T25" i="1" s="1"/>
  <c r="U25" i="1" s="1"/>
  <c r="V25" i="1" s="1"/>
  <c r="Z25" i="1" s="1"/>
  <c r="Y55" i="1"/>
  <c r="Y51" i="1"/>
  <c r="S36" i="1"/>
  <c r="T36" i="1" s="1"/>
  <c r="U36" i="1" s="1"/>
  <c r="V36" i="1" s="1"/>
  <c r="Z36" i="1" s="1"/>
  <c r="S62" i="1"/>
  <c r="T62" i="1" s="1"/>
  <c r="U62" i="1" s="1"/>
  <c r="V62" i="1" s="1"/>
  <c r="Z62" i="1" s="1"/>
  <c r="S54" i="1"/>
  <c r="T54" i="1" s="1"/>
  <c r="U54" i="1" s="1"/>
  <c r="V54" i="1" s="1"/>
  <c r="Z54" i="1" s="1"/>
  <c r="S22" i="1"/>
  <c r="T22" i="1" s="1"/>
  <c r="U22" i="1" s="1"/>
  <c r="V22" i="1" s="1"/>
  <c r="Z22" i="1" s="1"/>
  <c r="Y49" i="1"/>
  <c r="Z57" i="1"/>
  <c r="Y57" i="1"/>
  <c r="Y52" i="1"/>
  <c r="S47" i="1"/>
  <c r="T47" i="1" s="1"/>
  <c r="U47" i="1" s="1"/>
  <c r="V47" i="1" s="1"/>
  <c r="Z47" i="1" s="1"/>
  <c r="Y58" i="1"/>
  <c r="Y20" i="1"/>
  <c r="S63" i="1"/>
  <c r="T63" i="1" s="1"/>
  <c r="U63" i="1" s="1"/>
  <c r="V63" i="1" s="1"/>
  <c r="Z63" i="1" s="1"/>
  <c r="Y60" i="1"/>
  <c r="Y38" i="1"/>
  <c r="Y53" i="1"/>
  <c r="Y48" i="1"/>
  <c r="Y40" i="1"/>
  <c r="S28" i="1"/>
  <c r="T28" i="1" s="1"/>
  <c r="U28" i="1" s="1"/>
  <c r="V28" i="1" s="1"/>
  <c r="Z28" i="1" s="1"/>
  <c r="Y31" i="1"/>
  <c r="T18" i="9"/>
  <c r="T38" i="9"/>
  <c r="T19" i="9"/>
  <c r="T23" i="9"/>
  <c r="T22" i="9"/>
  <c r="U29" i="9"/>
  <c r="V31" i="9" l="1"/>
  <c r="V42" i="9"/>
  <c r="V36" i="9"/>
  <c r="U16" i="9"/>
  <c r="V37" i="9"/>
  <c r="V59" i="9"/>
  <c r="U19" i="9"/>
  <c r="V21" i="9"/>
  <c r="V54" i="9"/>
  <c r="V30" i="9"/>
  <c r="V49" i="9"/>
  <c r="V33" i="9"/>
  <c r="V48" i="9"/>
  <c r="V62" i="9"/>
  <c r="V28" i="9"/>
  <c r="U43" i="9"/>
  <c r="V24" i="9"/>
  <c r="U38" i="9"/>
  <c r="V50" i="9"/>
  <c r="V52" i="9"/>
  <c r="V40" i="9"/>
  <c r="V55" i="9"/>
  <c r="V56" i="9"/>
  <c r="V60" i="9"/>
  <c r="V46" i="9"/>
  <c r="V63" i="9"/>
  <c r="V57" i="9"/>
  <c r="V66" i="9"/>
  <c r="V64" i="9"/>
  <c r="V44" i="9"/>
  <c r="U23" i="9"/>
  <c r="V29" i="9"/>
  <c r="V65" i="9"/>
  <c r="V34" i="9"/>
  <c r="V58" i="9"/>
  <c r="V41" i="9"/>
  <c r="V26" i="9"/>
  <c r="V53" i="9"/>
  <c r="V39" i="9"/>
  <c r="V25" i="9"/>
  <c r="V32" i="9"/>
  <c r="V35" i="9"/>
  <c r="V45" i="9"/>
  <c r="V20" i="9"/>
  <c r="V47" i="9"/>
  <c r="V51" i="9"/>
  <c r="U16" i="1"/>
  <c r="Y63" i="1"/>
  <c r="Y36" i="1"/>
  <c r="Y22" i="1"/>
  <c r="Y25" i="1"/>
  <c r="Y28" i="1"/>
  <c r="Y47" i="1"/>
  <c r="Y54" i="1"/>
  <c r="Y62" i="1"/>
  <c r="Y39" i="1"/>
  <c r="U22" i="9"/>
  <c r="U18" i="9"/>
  <c r="V22" i="9" l="1"/>
  <c r="W51" i="9"/>
  <c r="W44" i="9"/>
  <c r="W56" i="9"/>
  <c r="W52" i="9"/>
  <c r="Z52" i="9" s="1"/>
  <c r="W48" i="9"/>
  <c r="W36" i="9"/>
  <c r="W41" i="9"/>
  <c r="W65" i="9"/>
  <c r="W33" i="9"/>
  <c r="Z33" i="9" s="1"/>
  <c r="W54" i="9"/>
  <c r="W59" i="9"/>
  <c r="W39" i="9"/>
  <c r="V43" i="9"/>
  <c r="W46" i="9"/>
  <c r="W55" i="9"/>
  <c r="W50" i="9"/>
  <c r="W42" i="9"/>
  <c r="V18" i="9"/>
  <c r="W64" i="9"/>
  <c r="W29" i="9"/>
  <c r="W28" i="9"/>
  <c r="W49" i="9"/>
  <c r="W37" i="9"/>
  <c r="W35" i="9"/>
  <c r="Z35" i="9" s="1"/>
  <c r="W47" i="9"/>
  <c r="W32" i="9"/>
  <c r="W20" i="9"/>
  <c r="W58" i="9"/>
  <c r="W66" i="9"/>
  <c r="W60" i="9"/>
  <c r="W40" i="9"/>
  <c r="V38" i="9"/>
  <c r="W21" i="9"/>
  <c r="W31" i="9"/>
  <c r="W53" i="9"/>
  <c r="W25" i="9"/>
  <c r="V23" i="9"/>
  <c r="W62" i="9"/>
  <c r="V16" i="9"/>
  <c r="W63" i="9"/>
  <c r="W45" i="9"/>
  <c r="W26" i="9"/>
  <c r="W34" i="9"/>
  <c r="W57" i="9"/>
  <c r="W24" i="9"/>
  <c r="W30" i="9"/>
  <c r="V19" i="9"/>
  <c r="V16" i="1"/>
  <c r="Z49" i="9" l="1"/>
  <c r="Z47" i="9"/>
  <c r="Z53" i="9"/>
  <c r="Z51" i="9"/>
  <c r="Z60" i="9"/>
  <c r="Z36" i="9"/>
  <c r="Z63" i="9"/>
  <c r="Z56" i="9"/>
  <c r="Z32" i="9"/>
  <c r="AA40" i="9"/>
  <c r="AA46" i="9"/>
  <c r="AA56" i="9"/>
  <c r="AA35" i="9"/>
  <c r="AA36" i="9"/>
  <c r="AA44" i="9"/>
  <c r="AA60" i="9"/>
  <c r="AA33" i="9"/>
  <c r="AA57" i="9"/>
  <c r="AA32" i="9"/>
  <c r="AA39" i="9"/>
  <c r="AA48" i="9"/>
  <c r="AA63" i="9"/>
  <c r="AA34" i="9"/>
  <c r="AA51" i="9"/>
  <c r="AA31" i="9"/>
  <c r="AA26" i="9"/>
  <c r="AA62" i="9"/>
  <c r="AA53" i="9"/>
  <c r="Z40" i="9"/>
  <c r="Z46" i="9"/>
  <c r="AA52" i="9"/>
  <c r="AA45" i="9"/>
  <c r="Z31" i="9"/>
  <c r="AA47" i="9"/>
  <c r="AA49" i="9"/>
  <c r="W38" i="9"/>
  <c r="Z38" i="9" s="1"/>
  <c r="AA66" i="9"/>
  <c r="Z66" i="9"/>
  <c r="AA64" i="9"/>
  <c r="Z64" i="9"/>
  <c r="AA55" i="9"/>
  <c r="Z55" i="9"/>
  <c r="W19" i="9"/>
  <c r="Z19" i="9" s="1"/>
  <c r="AA58" i="9"/>
  <c r="Z58" i="9"/>
  <c r="W18" i="9"/>
  <c r="AA59" i="9"/>
  <c r="Z59" i="9"/>
  <c r="AA41" i="9"/>
  <c r="Z41" i="9"/>
  <c r="AA20" i="9"/>
  <c r="Z20" i="9"/>
  <c r="AA28" i="9"/>
  <c r="Z28" i="9"/>
  <c r="AA42" i="9"/>
  <c r="Z42" i="9"/>
  <c r="AA54" i="9"/>
  <c r="Z54" i="9"/>
  <c r="AA65" i="9"/>
  <c r="Z65" i="9"/>
  <c r="W22" i="9"/>
  <c r="AA30" i="9"/>
  <c r="Z30" i="9"/>
  <c r="W23" i="9"/>
  <c r="Z23" i="9" s="1"/>
  <c r="Z39" i="9"/>
  <c r="W16" i="9"/>
  <c r="AA21" i="9"/>
  <c r="Z21" i="9"/>
  <c r="AA29" i="9"/>
  <c r="Z29" i="9"/>
  <c r="AA50" i="9"/>
  <c r="Z50" i="9"/>
  <c r="W43" i="9"/>
  <c r="Z44" i="9"/>
  <c r="Z26" i="9"/>
  <c r="Z57" i="9"/>
  <c r="Z45" i="9"/>
  <c r="Z62" i="9"/>
  <c r="AA25" i="9"/>
  <c r="Z25" i="9"/>
  <c r="AA37" i="9"/>
  <c r="Z37" i="9"/>
  <c r="Z48" i="9"/>
  <c r="Z34" i="9"/>
  <c r="Y16" i="1"/>
  <c r="Z16" i="1"/>
  <c r="AA16" i="9" l="1"/>
  <c r="Z16" i="9"/>
  <c r="AA23" i="9"/>
  <c r="AA19" i="9"/>
  <c r="AA38" i="9"/>
  <c r="AA43" i="9"/>
  <c r="Z43" i="9"/>
  <c r="Z22" i="9"/>
  <c r="AA22" i="9"/>
  <c r="Z18" i="9"/>
  <c r="AA18" i="9"/>
</calcChain>
</file>

<file path=xl/comments1.xml><?xml version="1.0" encoding="utf-8"?>
<comments xmlns="http://schemas.openxmlformats.org/spreadsheetml/2006/main">
  <authors>
    <author>Author</author>
  </authors>
  <commentList>
    <comment ref="A24" authorId="0" shapeId="0">
      <text>
        <r>
          <rPr>
            <b/>
            <sz val="9"/>
            <color indexed="81"/>
            <rFont val="Tahoma"/>
            <family val="2"/>
          </rPr>
          <t>Author:</t>
        </r>
        <r>
          <rPr>
            <sz val="9"/>
            <color indexed="81"/>
            <rFont val="Tahoma"/>
            <family val="2"/>
          </rPr>
          <t xml:space="preserve">
District of Columbia &amp; Vermont do not have any fossil generation regulated under this rule, so no goals are calculated.</t>
        </r>
      </text>
    </comment>
    <comment ref="A61" authorId="0" shapeId="0">
      <text>
        <r>
          <rPr>
            <b/>
            <sz val="9"/>
            <color indexed="81"/>
            <rFont val="Tahoma"/>
            <family val="2"/>
          </rPr>
          <t>Author:</t>
        </r>
        <r>
          <rPr>
            <sz val="9"/>
            <color indexed="81"/>
            <rFont val="Tahoma"/>
            <family val="2"/>
          </rPr>
          <t xml:space="preserve">
District of Columbia &amp; Vermont do not have any fossil generation regulated under this rule, so no goals are calculated.
</t>
        </r>
      </text>
    </comment>
  </commentList>
</comments>
</file>

<file path=xl/comments2.xml><?xml version="1.0" encoding="utf-8"?>
<comments xmlns="http://schemas.openxmlformats.org/spreadsheetml/2006/main">
  <authors>
    <author>Author</author>
  </authors>
  <commentList>
    <comment ref="A24" authorId="0" shapeId="0">
      <text>
        <r>
          <rPr>
            <b/>
            <sz val="9"/>
            <color indexed="81"/>
            <rFont val="Tahoma"/>
            <family val="2"/>
          </rPr>
          <t>Author:</t>
        </r>
        <r>
          <rPr>
            <sz val="9"/>
            <color indexed="81"/>
            <rFont val="Tahoma"/>
            <family val="2"/>
          </rPr>
          <t xml:space="preserve">
District of Columbia &amp; Vermont do not have any fossil generation regulated under this rule, so no goals are calculated.</t>
        </r>
      </text>
    </comment>
    <comment ref="A61" authorId="0" shapeId="0">
      <text>
        <r>
          <rPr>
            <b/>
            <sz val="9"/>
            <color indexed="81"/>
            <rFont val="Tahoma"/>
            <family val="2"/>
          </rPr>
          <t>Author:</t>
        </r>
        <r>
          <rPr>
            <sz val="9"/>
            <color indexed="81"/>
            <rFont val="Tahoma"/>
            <family val="2"/>
          </rPr>
          <t xml:space="preserve">
District of Columbia &amp; Vermont do not have any fossil generation regulated under this rule, so no goals are calculated.</t>
        </r>
      </text>
    </comment>
  </commentList>
</comments>
</file>

<file path=xl/comments3.xml><?xml version="1.0" encoding="utf-8"?>
<comments xmlns="http://schemas.openxmlformats.org/spreadsheetml/2006/main">
  <authors>
    <author>Author</author>
  </authors>
  <commentList>
    <comment ref="A17" authorId="0" shapeId="0">
      <text>
        <r>
          <rPr>
            <b/>
            <sz val="9"/>
            <color indexed="81"/>
            <rFont val="Tahoma"/>
            <family val="2"/>
          </rPr>
          <t>Author:</t>
        </r>
        <r>
          <rPr>
            <sz val="9"/>
            <color indexed="81"/>
            <rFont val="Tahoma"/>
            <family val="2"/>
          </rPr>
          <t xml:space="preserve">
State has capacity goal that is not included in the calculations.</t>
        </r>
      </text>
    </comment>
    <comment ref="A18" authorId="0" shapeId="0">
      <text>
        <r>
          <rPr>
            <b/>
            <sz val="9"/>
            <color indexed="81"/>
            <rFont val="Tahoma"/>
            <family val="2"/>
          </rPr>
          <t>Author:</t>
        </r>
        <r>
          <rPr>
            <sz val="9"/>
            <color indexed="81"/>
            <rFont val="Tahoma"/>
            <family val="2"/>
          </rPr>
          <t xml:space="preserve">
State has capacity goal that is not included in the calculations.</t>
        </r>
      </text>
    </comment>
    <comment ref="A45" authorId="0" shapeId="0">
      <text>
        <r>
          <rPr>
            <b/>
            <sz val="9"/>
            <color indexed="81"/>
            <rFont val="Tahoma"/>
            <family val="2"/>
          </rPr>
          <t>Author:</t>
        </r>
        <r>
          <rPr>
            <sz val="9"/>
            <color indexed="81"/>
            <rFont val="Tahoma"/>
            <family val="2"/>
          </rPr>
          <t xml:space="preserve">
State has capacity goal that is not included in the calculations.</t>
        </r>
      </text>
    </comment>
  </commentList>
</comments>
</file>

<file path=xl/comments4.xml><?xml version="1.0" encoding="utf-8"?>
<comments xmlns="http://schemas.openxmlformats.org/spreadsheetml/2006/main">
  <authors>
    <author>Author</author>
  </authors>
  <commentList>
    <comment ref="C1" authorId="0" shapeId="0">
      <text>
        <r>
          <rPr>
            <b/>
            <sz val="9"/>
            <color indexed="81"/>
            <rFont val="Tahoma"/>
            <family val="2"/>
          </rPr>
          <t>Author:</t>
        </r>
        <r>
          <rPr>
            <sz val="9"/>
            <color indexed="81"/>
            <rFont val="Tahoma"/>
            <family val="2"/>
          </rPr>
          <t xml:space="preserve">
Source: Net Generation by State from http://www.eia.gov/electricity/data/state/
State Historical Tables for 2012
Released: December 2013
Next Update: November 2014</t>
        </r>
      </text>
    </comment>
    <comment ref="D1" authorId="0" shapeId="0">
      <text>
        <r>
          <rPr>
            <b/>
            <sz val="9"/>
            <color indexed="81"/>
            <rFont val="Tahoma"/>
            <family val="2"/>
          </rPr>
          <t>Author:</t>
        </r>
        <r>
          <rPr>
            <sz val="9"/>
            <color indexed="81"/>
            <rFont val="Tahoma"/>
            <family val="2"/>
          </rPr>
          <t xml:space="preserve">
Source: Net Generation by State from http://www.eia.gov/electricity/data/state/
State Historical Tables for 2012
Released: December 2013
Next Update: November 2014</t>
        </r>
      </text>
    </comment>
    <comment ref="E1" authorId="0" shapeId="0">
      <text>
        <r>
          <rPr>
            <b/>
            <sz val="9"/>
            <color indexed="81"/>
            <rFont val="Tahoma"/>
            <family val="2"/>
          </rPr>
          <t>Author:</t>
        </r>
        <r>
          <rPr>
            <sz val="9"/>
            <color indexed="81"/>
            <rFont val="Tahoma"/>
            <family val="2"/>
          </rPr>
          <t xml:space="preserve">
bconlin:
Source: Net Generation by State from http://www.eia.gov/electricity/data/state/
State Historical Tables for 2012
Released: December 2013
Next Update: November 2014</t>
        </r>
      </text>
    </comment>
  </commentList>
</comments>
</file>

<file path=xl/sharedStrings.xml><?xml version="1.0" encoding="utf-8"?>
<sst xmlns="http://schemas.openxmlformats.org/spreadsheetml/2006/main" count="698" uniqueCount="168">
  <si>
    <t>Grand Total</t>
  </si>
  <si>
    <t>WY</t>
  </si>
  <si>
    <t>WV</t>
  </si>
  <si>
    <t>WI</t>
  </si>
  <si>
    <t>WA</t>
  </si>
  <si>
    <t>VT</t>
  </si>
  <si>
    <t>VA</t>
  </si>
  <si>
    <t>UT</t>
  </si>
  <si>
    <t>TX</t>
  </si>
  <si>
    <t>TN</t>
  </si>
  <si>
    <t>SD</t>
  </si>
  <si>
    <t>SC</t>
  </si>
  <si>
    <t>RI</t>
  </si>
  <si>
    <t>PA</t>
  </si>
  <si>
    <t>OR</t>
  </si>
  <si>
    <t>OK</t>
  </si>
  <si>
    <t>OH</t>
  </si>
  <si>
    <t>NY</t>
  </si>
  <si>
    <t>NV</t>
  </si>
  <si>
    <t>NM</t>
  </si>
  <si>
    <t>NJ</t>
  </si>
  <si>
    <t>NH</t>
  </si>
  <si>
    <t>NE</t>
  </si>
  <si>
    <t>ND</t>
  </si>
  <si>
    <t>NC</t>
  </si>
  <si>
    <t>MT</t>
  </si>
  <si>
    <t>MS</t>
  </si>
  <si>
    <t>MO</t>
  </si>
  <si>
    <t>MN</t>
  </si>
  <si>
    <t>MI</t>
  </si>
  <si>
    <t>ME</t>
  </si>
  <si>
    <t>MD</t>
  </si>
  <si>
    <t>MA</t>
  </si>
  <si>
    <t>LA</t>
  </si>
  <si>
    <t>KY</t>
  </si>
  <si>
    <t>KS</t>
  </si>
  <si>
    <t>IN</t>
  </si>
  <si>
    <t>IL</t>
  </si>
  <si>
    <t>ID</t>
  </si>
  <si>
    <t>IA</t>
  </si>
  <si>
    <t>HI</t>
  </si>
  <si>
    <t>GA</t>
  </si>
  <si>
    <t>FL</t>
  </si>
  <si>
    <t>DE</t>
  </si>
  <si>
    <t>DC</t>
  </si>
  <si>
    <t>CT</t>
  </si>
  <si>
    <t>CO</t>
  </si>
  <si>
    <t>CA</t>
  </si>
  <si>
    <t>AZ</t>
  </si>
  <si>
    <t>AR</t>
  </si>
  <si>
    <t>AL</t>
  </si>
  <si>
    <t>AK</t>
  </si>
  <si>
    <t>STATE</t>
  </si>
  <si>
    <t>Alaska</t>
  </si>
  <si>
    <t>Alabama</t>
  </si>
  <si>
    <t>Arkansas</t>
  </si>
  <si>
    <t>Arizona</t>
  </si>
  <si>
    <t>California</t>
  </si>
  <si>
    <t>Colorado</t>
  </si>
  <si>
    <t>Connecticut</t>
  </si>
  <si>
    <t>District Of Columbia</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</si>
  <si>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</si>
  <si>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</si>
  <si>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</si>
  <si>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</si>
  <si>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</si>
  <si>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</si>
  <si>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</si>
  <si>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</si>
  <si>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</si>
  <si>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</si>
  <si>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</si>
  <si>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</si>
  <si>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</si>
  <si>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</si>
  <si>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</si>
  <si>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</si>
  <si>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</si>
  <si>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</si>
  <si>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</si>
  <si>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</si>
  <si>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</si>
  <si>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</si>
  <si>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</si>
  <si>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</si>
  <si>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</si>
  <si>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</si>
  <si>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</si>
  <si>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</si>
  <si>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</si>
  <si>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</si>
  <si>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</si>
  <si>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</si>
  <si>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</si>
  <si>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</si>
  <si>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</si>
  <si>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</si>
  <si>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</si>
  <si>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</si>
  <si>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</si>
  <si>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</si>
  <si>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</si>
  <si>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</si>
  <si>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</si>
  <si>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State Abbrev</t>
  </si>
  <si>
    <t>2012 RE  In-State Generation</t>
  </si>
  <si>
    <t>2012 Total Fossil  In-State Generation</t>
  </si>
  <si>
    <t>2012 Total 
In-State Generation</t>
  </si>
  <si>
    <t>Navajo</t>
  </si>
  <si>
    <t xml:space="preserve">Plant Name </t>
  </si>
  <si>
    <t>Generation 
(MWh)</t>
  </si>
  <si>
    <t>Four Corners</t>
  </si>
  <si>
    <t>Bonanza</t>
  </si>
  <si>
    <t>Step Number</t>
  </si>
  <si>
    <t>Action</t>
  </si>
  <si>
    <t>Assign states to NERC-based regions</t>
  </si>
  <si>
    <t>Adjusted Fossil Generation without IC Fossil</t>
  </si>
  <si>
    <t>Southeast</t>
  </si>
  <si>
    <t>West</t>
  </si>
  <si>
    <t>South Central</t>
  </si>
  <si>
    <t>Northeast</t>
  </si>
  <si>
    <t>East Central</t>
  </si>
  <si>
    <t>North Central</t>
  </si>
  <si>
    <t>Step 1</t>
  </si>
  <si>
    <t>Step 2</t>
  </si>
  <si>
    <t>Assigned Region</t>
  </si>
  <si>
    <t>Step 3</t>
  </si>
  <si>
    <t>Step 4</t>
  </si>
  <si>
    <t>Calculate Annual Regional Growth Factor</t>
  </si>
  <si>
    <t>Calculate 2012 Regional RE</t>
  </si>
  <si>
    <t>Regional RE Generation Targets (%)</t>
  </si>
  <si>
    <t>State</t>
  </si>
  <si>
    <t>Effective RE Level</t>
  </si>
  <si>
    <t>Tribal Fossil Data</t>
  </si>
  <si>
    <t>2012
RE
(MWh)</t>
  </si>
  <si>
    <t>2012
RE
(%)</t>
  </si>
  <si>
    <t>State Table</t>
  </si>
  <si>
    <t>Regional Table (useful for Steps 2-4)</t>
  </si>
  <si>
    <t>2012 Indian Country (IC) Fossil Generation</t>
  </si>
  <si>
    <t>-</t>
  </si>
  <si>
    <t>Adjusted Total Generation without IC Fossil</t>
  </si>
  <si>
    <t>Year</t>
  </si>
  <si>
    <t>Growth Rate 2002-12</t>
  </si>
  <si>
    <t>Alaska and Hawaii Historical RE Generation Data &amp; Growth Rate Calculation</t>
  </si>
  <si>
    <t>Effective RE Level (%)</t>
  </si>
  <si>
    <t>State RE Generation Target (MWh)</t>
  </si>
  <si>
    <t>Step 5: Annual RE Targets in MWh  (capped by state's share of the regional RE target)</t>
  </si>
  <si>
    <t>Step 5: Annual RE Targets as % of 2012 Generation  (capped by state's share of the regional RE target)</t>
  </si>
  <si>
    <t>Calculations to derive state RE targets</t>
  </si>
  <si>
    <t>Calculate 2020 effective RE levels for states with RPS policies based on each state's RPS requirements</t>
  </si>
  <si>
    <t>Average 2020 effective RE levels present in each region, assign that to all states in the region as the RE Generation Target achievable by 2030</t>
  </si>
  <si>
    <t>Determine the annual growth factors required for each region to meet their respective regional RE targets by 2030</t>
  </si>
  <si>
    <t>Step 6: Proposed Goal RE Targets (MWh)</t>
  </si>
  <si>
    <t>Step 7: Alternative Goal RE Targets (MWh)</t>
  </si>
  <si>
    <t>Step 6: Proposed Goal RE Targets 
(% 2012 Gen)</t>
  </si>
  <si>
    <t>Step 7: Alternative Goal RE Targets 
(% 2012 Gen)</t>
  </si>
  <si>
    <t>Interim 
(2020-2029)</t>
  </si>
  <si>
    <t>Final (2030)</t>
  </si>
  <si>
    <t>Interim 
(2020-2024)</t>
  </si>
  <si>
    <t>Final (2025)</t>
  </si>
  <si>
    <t>Final 
(2030)</t>
  </si>
  <si>
    <t>Final 
(2025)</t>
  </si>
  <si>
    <t>Calculate Regional RE Target</t>
  </si>
  <si>
    <t>Calculate Regional RE Target (MWh)</t>
  </si>
  <si>
    <t>Interim and final RE targets are calculated in this spreadsheet for informational purposes, though the annual RE targets calculated in step 5 are the direct input to state goal calculation.  The interim RE targets for the Proposed State Goal method are calculated by averaging each state's 2020-2029 annual RE targets.  The 2029 annual RE target for each state is applied in 2030.</t>
  </si>
  <si>
    <t>Interim and final RE targets are calculated in this spreadsheet for informational purposes, though the annual RE targets calculated in step 5 are the direct input to goal calculation.  The interim RE targets for the Alternative State Goal method are calculated by averaging each state's 2020-2024 annual RE targets .  The 2024 annual RE target for each state is applied in 2025.</t>
  </si>
  <si>
    <t>This spreadsheet provides the aggregate state level data, calculations and resulting renewable energy (RE) targets that inform the 111(d) state goals.  The spreadsheets show two separate ways of implementing the calculations: one that calculates targets with RE expressed as megawatt-hour (MWh) generation and one with RE expressed as a percent of 2012 generation.  Both methods derive the same results if 2012 generation is used as the basis of your percentages.  The state annual RE targets expressed in megawatt-hours have been used as inputs to the proposed and alternative state goal calculation that is outlined in the Goal Computation TSD and related materials.  The steps of the RE methodology are as follows:</t>
  </si>
  <si>
    <t>Apply appropriate regional growth factor to each state's 2017 BAU RE generation levels (equal to 2012 generation levels) to derive 2017 RE generation targets under the proposed approach.  Apply the growth factor annually in each state for all subsequent years through 2029.  If the estimated RE generation is equal to or higher than the state's share of the regional RE target, apply the latter as their target in that year and all subsequent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</si>
</sst>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
    <numFmt numFmtId="166" formatCode="_(* #,##0.0000000_);_(* \(#,##0.0000000\);_(* &quot;-&quot;??_);_(@_)"/>
    <numFmt numFmtId="167" formatCode="0.000%"/>
  </numFmts>
  <fonts count="10" x14ac:knownFonts="1">
    <font>
      <sz val="11"/>
      <color theme="1"/>
      <name val="Calibri"/>
      <family val="2"/>
      <scheme val="minor"/>
    </font>
    <font>
      <sz val="11"/>
      <color theme="1"/>
      <name val="Calibri"/>
      <family val="2"/>
      <scheme val="minor"/>
    </font>
    <font>
      <sz val="10"/>
      <name val="MS Sans Serif"/>
      <family val="2"/>
    </font>
    <font>
      <sz val="10"/>
      <name val="MS Sans Serif"/>
    </font>
    <font>
      <sz val="9"/>
      <color indexed="81"/>
      <name val="Tahoma"/>
      <family val="2"/>
    </font>
    <font>
      <b/>
      <sz val="9"/>
      <color indexed="81"/>
      <name val="Tahoma"/>
      <family val="2"/>
    </font>
    <font>
      <sz val="11"/>
      <name val="Calibri"/>
      <family val="2"/>
      <scheme val="minor"/>
    </font>
    <font>
      <b/>
      <sz val="10"/>
      <name val="MS Sans Serif"/>
    </font>
    <font>
      <b/>
      <sz val="1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indexed="64"/>
      </bottom>
      <diagonal/>
    </border>
    <border>
      <left/>
      <right style="thin">
        <color rgb="FF999999"/>
      </right>
      <top style="thin">
        <color rgb="FF999999"/>
      </top>
      <bottom style="thin">
        <color indexed="64"/>
      </bottom>
      <diagonal/>
    </border>
    <border>
      <left style="thin">
        <color rgb="FF999999"/>
      </left>
      <right style="thin">
        <color rgb="FF999999"/>
      </right>
      <top style="thin">
        <color indexed="64"/>
      </top>
      <bottom/>
      <diagonal/>
    </border>
    <border>
      <left style="thin">
        <color rgb="FF999999"/>
      </left>
      <right style="thin">
        <color rgb="FF999999"/>
      </right>
      <top/>
      <bottom style="thin">
        <color rgb="FF999999"/>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rgb="FF999999"/>
      </left>
      <right style="thin">
        <color rgb="FF999999"/>
      </right>
      <top style="thin">
        <color rgb="FF999999"/>
      </top>
      <bottom/>
      <diagonal/>
    </border>
  </borders>
  <cellStyleXfs count="6">
    <xf numFmtId="0" fontId="0" fillId="0" borderId="0"/>
    <xf numFmtId="43" fontId="1" fillId="0" borderId="0" applyFont="0" applyFill="0" applyBorder="0" applyAlignment="0" applyProtection="0"/>
    <xf numFmtId="43" fontId="2" fillId="0" borderId="0" applyFont="0" applyFill="0" applyBorder="0" applyAlignment="0" applyProtection="0"/>
    <xf numFmtId="0" fontId="3" fillId="0" borderId="0"/>
    <xf numFmtId="9" fontId="1" fillId="0" borderId="0" applyFont="0" applyFill="0" applyBorder="0" applyAlignment="0" applyProtection="0"/>
    <xf numFmtId="0" fontId="1" fillId="0" borderId="0"/>
  </cellStyleXfs>
  <cellXfs count="146">
    <xf numFmtId="0" fontId="0" fillId="0" borderId="0" xfId="0"/>
    <xf numFmtId="164" fontId="0" fillId="0" borderId="0" xfId="1" applyNumberFormat="1" applyFont="1"/>
    <xf numFmtId="164" fontId="6" fillId="0" borderId="0" xfId="2" applyNumberFormat="1" applyFont="1"/>
    <xf numFmtId="0" fontId="6" fillId="0" borderId="0" xfId="3" applyFont="1"/>
    <xf numFmtId="164" fontId="6" fillId="0" borderId="0" xfId="3" applyNumberFormat="1" applyFont="1" applyBorder="1"/>
    <xf numFmtId="164" fontId="6" fillId="0" borderId="0" xfId="3" applyNumberFormat="1" applyFont="1"/>
    <xf numFmtId="164" fontId="6" fillId="0" borderId="3" xfId="3" applyNumberFormat="1" applyFont="1" applyBorder="1"/>
    <xf numFmtId="0" fontId="3" fillId="0" borderId="0" xfId="3"/>
    <xf numFmtId="0" fontId="7" fillId="0" borderId="0" xfId="3" applyFont="1"/>
    <xf numFmtId="0" fontId="8" fillId="0" borderId="0" xfId="3" applyFont="1" applyAlignment="1">
      <alignment horizontal="center" wrapText="1"/>
    </xf>
    <xf numFmtId="0" fontId="8" fillId="0" borderId="0" xfId="3" applyFont="1" applyAlignment="1">
      <alignment wrapText="1"/>
    </xf>
    <xf numFmtId="0" fontId="8" fillId="0" borderId="0" xfId="3" applyFont="1" applyAlignment="1">
      <alignment horizontal="center"/>
    </xf>
    <xf numFmtId="0" fontId="6" fillId="0" borderId="0" xfId="3" applyFont="1" applyAlignment="1">
      <alignment wrapText="1"/>
    </xf>
    <xf numFmtId="0" fontId="7" fillId="0" borderId="0" xfId="3" applyFont="1" applyAlignment="1">
      <alignment horizontal="center"/>
    </xf>
    <xf numFmtId="0" fontId="3" fillId="0" borderId="0" xfId="3" applyAlignment="1">
      <alignment wrapText="1"/>
    </xf>
    <xf numFmtId="164" fontId="8" fillId="0" borderId="2" xfId="3" applyNumberFormat="1" applyFont="1" applyBorder="1"/>
    <xf numFmtId="0" fontId="8" fillId="0" borderId="0" xfId="3" applyFont="1"/>
    <xf numFmtId="0" fontId="6" fillId="0" borderId="1" xfId="3" applyFont="1" applyBorder="1"/>
    <xf numFmtId="164" fontId="6" fillId="0" borderId="6" xfId="3" applyNumberFormat="1" applyFont="1" applyBorder="1"/>
    <xf numFmtId="164" fontId="6" fillId="0" borderId="6" xfId="2" applyNumberFormat="1" applyFont="1" applyBorder="1"/>
    <xf numFmtId="164" fontId="6" fillId="0" borderId="3" xfId="2" applyNumberFormat="1" applyFont="1" applyBorder="1"/>
    <xf numFmtId="164" fontId="6" fillId="0" borderId="7" xfId="3" applyNumberFormat="1" applyFont="1" applyBorder="1"/>
    <xf numFmtId="164" fontId="6" fillId="0" borderId="7" xfId="2" applyNumberFormat="1" applyFont="1" applyBorder="1"/>
    <xf numFmtId="164" fontId="8" fillId="0" borderId="2" xfId="2" applyNumberFormat="1" applyFont="1" applyBorder="1"/>
    <xf numFmtId="0" fontId="0" fillId="0" borderId="1" xfId="0" applyBorder="1"/>
    <xf numFmtId="0" fontId="0" fillId="0" borderId="1" xfId="0" applyBorder="1" applyAlignment="1">
      <alignment horizontal="center"/>
    </xf>
    <xf numFmtId="0" fontId="6" fillId="0" borderId="1" xfId="0" applyFont="1" applyBorder="1" applyAlignment="1">
      <alignment horizontal="center" vertical="center" wrapText="1"/>
    </xf>
    <xf numFmtId="0" fontId="9" fillId="0" borderId="0" xfId="0" applyFont="1"/>
    <xf numFmtId="164" fontId="0" fillId="0" borderId="1" xfId="1" applyNumberFormat="1" applyFont="1" applyBorder="1"/>
    <xf numFmtId="9" fontId="0" fillId="0" borderId="1" xfId="4" applyFont="1" applyBorder="1" applyAlignment="1">
      <alignment horizontal="center"/>
    </xf>
    <xf numFmtId="9" fontId="0" fillId="0" borderId="1" xfId="4" applyFont="1" applyBorder="1"/>
    <xf numFmtId="9" fontId="0" fillId="0" borderId="0" xfId="4" applyFont="1"/>
    <xf numFmtId="0" fontId="0" fillId="0" borderId="1" xfId="0" applyBorder="1" applyAlignment="1">
      <alignment horizontal="center" vertical="center" wrapText="1"/>
    </xf>
    <xf numFmtId="164" fontId="0" fillId="0" borderId="1" xfId="1"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164" fontId="0" fillId="0" borderId="0" xfId="1" applyNumberFormat="1" applyFont="1" applyFill="1"/>
    <xf numFmtId="164" fontId="0" fillId="0" borderId="0" xfId="1" applyNumberFormat="1" applyFont="1" applyFill="1" applyBorder="1" applyAlignment="1">
      <alignment horizontal="center" vertical="center" wrapText="1"/>
    </xf>
    <xf numFmtId="164" fontId="9" fillId="0" borderId="0" xfId="1" applyNumberFormat="1" applyFont="1" applyFill="1"/>
    <xf numFmtId="164" fontId="0" fillId="0" borderId="1" xfId="1" applyNumberFormat="1" applyFont="1" applyFill="1" applyBorder="1" applyAlignment="1">
      <alignment horizontal="center" vertical="center" wrapText="1"/>
    </xf>
    <xf numFmtId="164" fontId="0" fillId="0" borderId="1" xfId="1" applyNumberFormat="1" applyFont="1" applyFill="1" applyBorder="1"/>
    <xf numFmtId="164" fontId="0" fillId="0" borderId="0" xfId="1" applyNumberFormat="1" applyFont="1" applyAlignment="1">
      <alignment horizontal="center" vertical="center" wrapText="1"/>
    </xf>
    <xf numFmtId="164" fontId="9" fillId="0" borderId="0" xfId="1" applyNumberFormat="1" applyFont="1"/>
    <xf numFmtId="0" fontId="0" fillId="0" borderId="1" xfId="1" applyNumberFormat="1" applyFont="1" applyBorder="1" applyAlignment="1">
      <alignment horizontal="center" vertical="center" wrapText="1"/>
    </xf>
    <xf numFmtId="164" fontId="0" fillId="0" borderId="1" xfId="1" applyNumberFormat="1" applyFont="1" applyBorder="1" applyAlignment="1">
      <alignment vertical="center"/>
    </xf>
    <xf numFmtId="9" fontId="0" fillId="0" borderId="0" xfId="4" applyFont="1" applyAlignment="1">
      <alignment horizontal="center" vertical="center" wrapText="1"/>
    </xf>
    <xf numFmtId="9" fontId="9" fillId="0" borderId="0" xfId="4" applyFont="1"/>
    <xf numFmtId="9" fontId="0" fillId="0" borderId="1" xfId="4" applyFont="1" applyBorder="1" applyAlignment="1">
      <alignment vertical="center"/>
    </xf>
    <xf numFmtId="164" fontId="6" fillId="0" borderId="9" xfId="2" applyNumberFormat="1" applyFont="1" applyBorder="1"/>
    <xf numFmtId="164" fontId="6" fillId="0" borderId="11" xfId="2" applyNumberFormat="1" applyFont="1" applyBorder="1"/>
    <xf numFmtId="0" fontId="6" fillId="0" borderId="11" xfId="3" applyFont="1" applyBorder="1"/>
    <xf numFmtId="164" fontId="8" fillId="0" borderId="0" xfId="2" applyNumberFormat="1" applyFont="1"/>
    <xf numFmtId="164" fontId="1" fillId="0" borderId="10" xfId="2" applyNumberFormat="1" applyFont="1" applyBorder="1"/>
    <xf numFmtId="0" fontId="1" fillId="0" borderId="1" xfId="3" applyFont="1" applyBorder="1"/>
    <xf numFmtId="9" fontId="0" fillId="0" borderId="1" xfId="4" applyNumberFormat="1" applyFont="1" applyFill="1" applyBorder="1" applyAlignment="1">
      <alignment horizontal="center" vertical="center" wrapText="1"/>
    </xf>
    <xf numFmtId="9" fontId="0" fillId="0" borderId="1" xfId="4" applyNumberFormat="1" applyFont="1" applyFill="1" applyBorder="1"/>
    <xf numFmtId="9" fontId="0" fillId="0" borderId="0" xfId="4" applyNumberFormat="1" applyFont="1" applyFill="1"/>
    <xf numFmtId="9" fontId="0" fillId="0" borderId="1" xfId="4" applyNumberFormat="1" applyFont="1" applyBorder="1" applyAlignment="1">
      <alignment horizontal="center" vertical="center" wrapText="1"/>
    </xf>
    <xf numFmtId="9" fontId="0" fillId="0" borderId="1" xfId="4" applyNumberFormat="1" applyFont="1" applyBorder="1"/>
    <xf numFmtId="9" fontId="0" fillId="0" borderId="0" xfId="4" applyNumberFormat="1" applyFont="1"/>
    <xf numFmtId="9" fontId="0" fillId="0" borderId="0" xfId="4" applyFont="1" applyBorder="1" applyAlignment="1">
      <alignment horizontal="center" vertical="center" wrapText="1"/>
    </xf>
    <xf numFmtId="9" fontId="0" fillId="0" borderId="1" xfId="4" applyFont="1" applyBorder="1" applyAlignment="1">
      <alignment horizontal="center" vertical="center"/>
    </xf>
    <xf numFmtId="9" fontId="0" fillId="0" borderId="1" xfId="4" applyFont="1" applyBorder="1" applyAlignment="1">
      <alignment horizontal="center" vertical="center" wrapText="1"/>
    </xf>
    <xf numFmtId="9" fontId="0" fillId="0" borderId="1" xfId="4" applyFont="1" applyFill="1" applyBorder="1" applyAlignment="1">
      <alignment horizontal="center" vertical="center" wrapText="1"/>
    </xf>
    <xf numFmtId="9" fontId="0" fillId="0" borderId="1" xfId="4" applyFont="1" applyFill="1" applyBorder="1"/>
    <xf numFmtId="9" fontId="0" fillId="0" borderId="0" xfId="4" applyFont="1" applyFill="1"/>
    <xf numFmtId="9" fontId="0" fillId="0" borderId="0" xfId="4" applyFont="1" applyFill="1" applyBorder="1" applyAlignment="1">
      <alignment horizontal="center" vertical="center" wrapText="1"/>
    </xf>
    <xf numFmtId="9" fontId="9" fillId="0" borderId="0" xfId="4" applyFont="1" applyFill="1"/>
    <xf numFmtId="0" fontId="0" fillId="0" borderId="1" xfId="4" applyNumberFormat="1" applyFont="1" applyBorder="1" applyAlignment="1">
      <alignment horizontal="center" vertical="center" wrapText="1"/>
    </xf>
    <xf numFmtId="0" fontId="6" fillId="0" borderId="1" xfId="3" applyFont="1" applyBorder="1" applyAlignment="1">
      <alignment horizontal="center" vertical="center"/>
    </xf>
    <xf numFmtId="0" fontId="6" fillId="0" borderId="1" xfId="3" applyFont="1" applyBorder="1" applyAlignment="1">
      <alignment horizontal="center" vertical="center" wrapText="1"/>
    </xf>
    <xf numFmtId="0" fontId="6" fillId="0" borderId="5" xfId="3" applyFont="1" applyBorder="1" applyAlignment="1">
      <alignment horizontal="center" vertical="center" wrapText="1"/>
    </xf>
    <xf numFmtId="164" fontId="6" fillId="0" borderId="4" xfId="2" applyNumberFormat="1" applyFont="1" applyBorder="1" applyAlignment="1">
      <alignment horizontal="center" vertical="center" wrapText="1"/>
    </xf>
    <xf numFmtId="9" fontId="0" fillId="0" borderId="1" xfId="4" applyFont="1" applyBorder="1" applyAlignment="1">
      <alignment horizontal="right"/>
    </xf>
    <xf numFmtId="164" fontId="0" fillId="0" borderId="0" xfId="1" applyNumberFormat="1" applyFont="1" applyFill="1" applyBorder="1"/>
    <xf numFmtId="165" fontId="0" fillId="0" borderId="1" xfId="4" applyNumberFormat="1" applyFont="1" applyBorder="1"/>
    <xf numFmtId="10" fontId="6" fillId="0" borderId="13" xfId="4" applyNumberFormat="1" applyFont="1" applyBorder="1"/>
    <xf numFmtId="9" fontId="6" fillId="0" borderId="1" xfId="4" applyNumberFormat="1" applyFont="1" applyBorder="1"/>
    <xf numFmtId="166" fontId="0" fillId="0" borderId="0" xfId="1" applyNumberFormat="1" applyFont="1" applyFill="1"/>
    <xf numFmtId="9" fontId="0" fillId="0" borderId="0" xfId="0" applyNumberFormat="1"/>
    <xf numFmtId="167" fontId="0" fillId="0" borderId="0" xfId="0" applyNumberFormat="1"/>
    <xf numFmtId="9" fontId="6" fillId="0" borderId="0" xfId="4" applyFont="1"/>
    <xf numFmtId="164" fontId="6" fillId="0" borderId="0" xfId="1" applyNumberFormat="1" applyFont="1"/>
    <xf numFmtId="165" fontId="0" fillId="0" borderId="1" xfId="4" applyNumberFormat="1" applyFont="1" applyFill="1" applyBorder="1"/>
    <xf numFmtId="9" fontId="6" fillId="0" borderId="1" xfId="4" applyFont="1" applyFill="1" applyBorder="1" applyAlignment="1">
      <alignment horizontal="center" vertical="center" wrapText="1"/>
    </xf>
    <xf numFmtId="0" fontId="0" fillId="0" borderId="0" xfId="0" applyFill="1" applyAlignment="1">
      <alignment horizontal="center" vertical="center" wrapText="1"/>
    </xf>
    <xf numFmtId="9" fontId="0" fillId="0" borderId="1" xfId="4" applyFont="1" applyFill="1" applyBorder="1" applyAlignment="1">
      <alignment horizontal="right"/>
    </xf>
    <xf numFmtId="0" fontId="0" fillId="0" borderId="0" xfId="0" applyFill="1" applyAlignment="1">
      <alignment horizontal="center" vertical="center"/>
    </xf>
    <xf numFmtId="0" fontId="0" fillId="0" borderId="0" xfId="0" applyFill="1"/>
    <xf numFmtId="9" fontId="0" fillId="0" borderId="0" xfId="0" applyNumberFormat="1" applyFill="1"/>
    <xf numFmtId="43" fontId="0" fillId="0" borderId="0" xfId="0" applyNumberFormat="1" applyFill="1"/>
    <xf numFmtId="0" fontId="9" fillId="0" borderId="0" xfId="0" applyFont="1" applyFill="1" applyAlignment="1">
      <alignment horizontal="right"/>
    </xf>
    <xf numFmtId="164" fontId="0" fillId="0" borderId="0" xfId="1" applyNumberFormat="1" applyFont="1" applyFill="1" applyAlignment="1">
      <alignment horizontal="center" vertical="center" wrapText="1"/>
    </xf>
    <xf numFmtId="0" fontId="9" fillId="0" borderId="0" xfId="0" applyFont="1" applyFill="1"/>
    <xf numFmtId="164" fontId="6" fillId="0" borderId="1" xfId="1" applyNumberFormat="1" applyFont="1" applyFill="1" applyBorder="1" applyAlignment="1">
      <alignment horizontal="center" vertical="center" wrapText="1"/>
    </xf>
    <xf numFmtId="164" fontId="6" fillId="0" borderId="1" xfId="2" applyNumberFormat="1" applyFont="1" applyBorder="1"/>
    <xf numFmtId="9" fontId="6" fillId="0" borderId="1" xfId="4" applyFont="1" applyBorder="1"/>
    <xf numFmtId="164" fontId="0" fillId="0" borderId="0" xfId="1" applyNumberFormat="1" applyFont="1" applyBorder="1"/>
    <xf numFmtId="0" fontId="0" fillId="0" borderId="0" xfId="1" applyNumberFormat="1" applyFont="1" applyBorder="1" applyAlignment="1">
      <alignment horizontal="center" vertical="center" wrapText="1"/>
    </xf>
    <xf numFmtId="0" fontId="0" fillId="0" borderId="0" xfId="4" applyNumberFormat="1" applyFont="1" applyBorder="1" applyAlignment="1">
      <alignment horizontal="center" vertical="center" wrapText="1"/>
    </xf>
    <xf numFmtId="164" fontId="0" fillId="0" borderId="0" xfId="1" applyNumberFormat="1" applyFont="1" applyBorder="1" applyAlignment="1">
      <alignment horizontal="center" vertical="center" wrapText="1"/>
    </xf>
    <xf numFmtId="0" fontId="0" fillId="0" borderId="0" xfId="0" applyBorder="1"/>
    <xf numFmtId="165" fontId="0" fillId="0" borderId="0" xfId="4" applyNumberFormat="1" applyFont="1" applyBorder="1"/>
    <xf numFmtId="164" fontId="9" fillId="0" borderId="0" xfId="1" applyNumberFormat="1" applyFont="1" applyBorder="1"/>
    <xf numFmtId="165" fontId="9" fillId="0" borderId="0" xfId="4" applyNumberFormat="1" applyFont="1" applyBorder="1"/>
    <xf numFmtId="9" fontId="9" fillId="0" borderId="0" xfId="4" applyFont="1" applyFill="1" applyAlignment="1">
      <alignment horizontal="right"/>
    </xf>
    <xf numFmtId="165" fontId="9" fillId="0" borderId="0" xfId="0" applyNumberFormat="1" applyFont="1" applyFill="1" applyAlignment="1">
      <alignment horizontal="right"/>
    </xf>
    <xf numFmtId="164" fontId="9" fillId="0" borderId="0" xfId="1" applyNumberFormat="1" applyFont="1" applyFill="1" applyAlignment="1">
      <alignment horizontal="right"/>
    </xf>
    <xf numFmtId="165" fontId="9" fillId="0" borderId="0" xfId="4" applyNumberFormat="1" applyFont="1" applyFill="1" applyAlignment="1">
      <alignment horizontal="right"/>
    </xf>
    <xf numFmtId="9" fontId="9" fillId="0" borderId="0" xfId="0" applyNumberFormat="1" applyFont="1" applyFill="1" applyAlignment="1">
      <alignment horizontal="right"/>
    </xf>
    <xf numFmtId="164" fontId="0" fillId="0" borderId="12" xfId="1" applyNumberFormat="1" applyFont="1" applyFill="1" applyBorder="1"/>
    <xf numFmtId="9" fontId="9" fillId="0" borderId="0" xfId="4" applyNumberFormat="1" applyFont="1" applyFill="1" applyAlignment="1">
      <alignment horizontal="right"/>
    </xf>
    <xf numFmtId="0" fontId="9" fillId="0" borderId="12" xfId="0" applyFont="1" applyFill="1" applyBorder="1"/>
    <xf numFmtId="164" fontId="9" fillId="0" borderId="12" xfId="1" applyNumberFormat="1" applyFont="1" applyFill="1" applyBorder="1"/>
    <xf numFmtId="9" fontId="9" fillId="0" borderId="12" xfId="4" applyNumberFormat="1" applyFont="1" applyFill="1" applyBorder="1"/>
    <xf numFmtId="9" fontId="9" fillId="0" borderId="12" xfId="4" applyFont="1" applyFill="1" applyBorder="1"/>
    <xf numFmtId="164" fontId="6" fillId="0" borderId="2" xfId="2" applyNumberFormat="1" applyFont="1" applyBorder="1" applyAlignment="1">
      <alignment horizontal="center" vertical="center" wrapText="1"/>
    </xf>
    <xf numFmtId="164" fontId="6" fillId="0" borderId="14" xfId="3" applyNumberFormat="1" applyFont="1" applyBorder="1"/>
    <xf numFmtId="0" fontId="6" fillId="0" borderId="13" xfId="3" applyFont="1" applyBorder="1"/>
    <xf numFmtId="164" fontId="0" fillId="0" borderId="0" xfId="0" applyNumberFormat="1"/>
    <xf numFmtId="0" fontId="8" fillId="2" borderId="0" xfId="3" applyFont="1" applyFill="1" applyAlignment="1">
      <alignment horizontal="center"/>
    </xf>
    <xf numFmtId="0" fontId="6" fillId="0" borderId="0" xfId="3" applyFont="1" applyAlignment="1">
      <alignment horizontal="left" wrapText="1"/>
    </xf>
    <xf numFmtId="165" fontId="0" fillId="0" borderId="9" xfId="4" applyNumberFormat="1" applyFont="1" applyBorder="1" applyAlignment="1">
      <alignment horizontal="center" vertical="center" wrapText="1"/>
    </xf>
    <xf numFmtId="165" fontId="0" fillId="0" borderId="10" xfId="4" applyNumberFormat="1" applyFont="1" applyBorder="1" applyAlignment="1">
      <alignment horizontal="center" vertical="center" wrapText="1"/>
    </xf>
    <xf numFmtId="9" fontId="0" fillId="0" borderId="9" xfId="4" applyNumberFormat="1" applyFont="1" applyBorder="1" applyAlignment="1">
      <alignment horizontal="center"/>
    </xf>
    <xf numFmtId="9" fontId="0" fillId="0" borderId="10" xfId="4" applyNumberFormat="1" applyFont="1" applyBorder="1" applyAlignment="1">
      <alignment horizontal="center"/>
    </xf>
    <xf numFmtId="9" fontId="9" fillId="0" borderId="12" xfId="4" applyNumberFormat="1" applyFont="1" applyFill="1" applyBorder="1" applyAlignment="1">
      <alignment horizontal="center"/>
    </xf>
    <xf numFmtId="164" fontId="0" fillId="0" borderId="1" xfId="1" applyNumberFormat="1" applyFont="1" applyBorder="1" applyAlignment="1">
      <alignment horizontal="center" vertical="center"/>
    </xf>
    <xf numFmtId="164" fontId="0" fillId="0" borderId="8" xfId="1" applyNumberFormat="1" applyFont="1" applyBorder="1" applyAlignment="1">
      <alignment horizontal="center" vertical="center"/>
    </xf>
    <xf numFmtId="164" fontId="0" fillId="0" borderId="9" xfId="1" applyNumberFormat="1" applyFont="1" applyFill="1" applyBorder="1" applyAlignment="1">
      <alignment horizontal="center" vertical="center" wrapText="1"/>
    </xf>
    <xf numFmtId="164" fontId="0" fillId="0" borderId="10" xfId="1"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165" fontId="0" fillId="0" borderId="9" xfId="4" applyNumberFormat="1" applyFont="1" applyBorder="1" applyAlignment="1">
      <alignment horizontal="center" vertical="center"/>
    </xf>
    <xf numFmtId="165" fontId="0" fillId="0" borderId="10" xfId="4" applyNumberFormat="1" applyFont="1" applyBorder="1" applyAlignment="1">
      <alignment horizontal="center" vertical="center"/>
    </xf>
    <xf numFmtId="165" fontId="0" fillId="0" borderId="9" xfId="4" applyNumberFormat="1" applyFont="1" applyBorder="1" applyAlignment="1">
      <alignment horizontal="center"/>
    </xf>
    <xf numFmtId="165" fontId="0" fillId="0" borderId="10" xfId="4" applyNumberFormat="1" applyFont="1" applyBorder="1" applyAlignment="1">
      <alignment horizontal="center"/>
    </xf>
    <xf numFmtId="164" fontId="0" fillId="0" borderId="1" xfId="1" applyNumberFormat="1" applyFont="1" applyBorder="1" applyAlignment="1">
      <alignment horizontal="center"/>
    </xf>
    <xf numFmtId="164" fontId="0" fillId="0" borderId="8" xfId="1" applyNumberFormat="1" applyFont="1" applyBorder="1" applyAlignment="1">
      <alignment horizontal="center"/>
    </xf>
    <xf numFmtId="9" fontId="0" fillId="0" borderId="9" xfId="4" applyFont="1" applyFill="1" applyBorder="1" applyAlignment="1">
      <alignment horizontal="center" vertical="center" wrapText="1"/>
    </xf>
    <xf numFmtId="9" fontId="0" fillId="0" borderId="10" xfId="4" applyFont="1" applyFill="1" applyBorder="1" applyAlignment="1">
      <alignment horizontal="center" vertical="center" wrapText="1"/>
    </xf>
    <xf numFmtId="9" fontId="0" fillId="0" borderId="9" xfId="4" applyFont="1" applyBorder="1" applyAlignment="1">
      <alignment horizontal="center" vertical="center"/>
    </xf>
    <xf numFmtId="9" fontId="0" fillId="0" borderId="11" xfId="4" applyFont="1" applyBorder="1" applyAlignment="1">
      <alignment horizontal="center" vertical="center"/>
    </xf>
    <xf numFmtId="9" fontId="0" fillId="0" borderId="10" xfId="4" applyFont="1" applyBorder="1" applyAlignment="1">
      <alignment horizontal="center" vertical="center"/>
    </xf>
  </cellXfs>
  <cellStyles count="6">
    <cellStyle name="Comma" xfId="1" builtinId="3"/>
    <cellStyle name="Comma 2" xfId="2"/>
    <cellStyle name="Normal" xfId="0" builtinId="0"/>
    <cellStyle name="Normal 10" xfId="5"/>
    <cellStyle name="Normal 2"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election activeCell="B10" sqref="B10"/>
    </sheetView>
  </sheetViews>
  <sheetFormatPr defaultRowHeight="12.75" x14ac:dyDescent="0.2"/>
  <cols>
    <col min="1" max="1" width="13.28515625" style="13" customWidth="1"/>
    <col min="2" max="2" width="94.28515625" style="14" customWidth="1"/>
    <col min="3" max="16384" width="9.140625" style="7"/>
  </cols>
  <sheetData>
    <row r="1" spans="1:2" ht="15" x14ac:dyDescent="0.25">
      <c r="A1" s="122" t="s">
        <v>148</v>
      </c>
      <c r="B1" s="122"/>
    </row>
    <row r="2" spans="1:2" s="8" customFormat="1" ht="110.25" customHeight="1" x14ac:dyDescent="0.25">
      <c r="A2" s="123" t="s">
        <v>166</v>
      </c>
      <c r="B2" s="123"/>
    </row>
    <row r="3" spans="1:2" s="8" customFormat="1" ht="15" x14ac:dyDescent="0.25">
      <c r="A3" s="9" t="s">
        <v>113</v>
      </c>
      <c r="B3" s="10" t="s">
        <v>114</v>
      </c>
    </row>
    <row r="4" spans="1:2" ht="13.5" customHeight="1" x14ac:dyDescent="0.25">
      <c r="A4" s="11">
        <v>1</v>
      </c>
      <c r="B4" s="12" t="s">
        <v>149</v>
      </c>
    </row>
    <row r="5" spans="1:2" ht="15" x14ac:dyDescent="0.25">
      <c r="A5" s="11">
        <f t="shared" ref="A5:A10" si="0">1+A4</f>
        <v>2</v>
      </c>
      <c r="B5" s="12" t="s">
        <v>115</v>
      </c>
    </row>
    <row r="6" spans="1:2" ht="30.75" customHeight="1" x14ac:dyDescent="0.25">
      <c r="A6" s="11">
        <f t="shared" si="0"/>
        <v>3</v>
      </c>
      <c r="B6" s="12" t="s">
        <v>150</v>
      </c>
    </row>
    <row r="7" spans="1:2" ht="30" x14ac:dyDescent="0.25">
      <c r="A7" s="11">
        <f t="shared" si="0"/>
        <v>4</v>
      </c>
      <c r="B7" s="12" t="s">
        <v>151</v>
      </c>
    </row>
    <row r="8" spans="1:2" ht="78.75" customHeight="1" x14ac:dyDescent="0.25">
      <c r="A8" s="11">
        <f t="shared" si="0"/>
        <v>5</v>
      </c>
      <c r="B8" s="12" t="s">
        <v>167</v>
      </c>
    </row>
    <row r="9" spans="1:2" ht="60" customHeight="1" x14ac:dyDescent="0.25">
      <c r="A9" s="11">
        <f t="shared" si="0"/>
        <v>6</v>
      </c>
      <c r="B9" s="12" t="s">
        <v>164</v>
      </c>
    </row>
    <row r="10" spans="1:2" ht="60" x14ac:dyDescent="0.25">
      <c r="A10" s="11">
        <f t="shared" si="0"/>
        <v>7</v>
      </c>
      <c r="B10" s="12" t="s">
        <v>165</v>
      </c>
    </row>
  </sheetData>
  <mergeCells count="2">
    <mergeCell ref="A1:B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97"/>
  <sheetViews>
    <sheetView zoomScaleNormal="100" workbookViewId="0">
      <pane xSplit="1" topLeftCell="B1" activePane="topRight" state="frozen"/>
      <selection pane="topRight" activeCell="G3" sqref="G3"/>
    </sheetView>
  </sheetViews>
  <sheetFormatPr defaultRowHeight="15" x14ac:dyDescent="0.25"/>
  <cols>
    <col min="1" max="1" width="19" customWidth="1"/>
    <col min="2" max="2" width="9.42578125" customWidth="1"/>
    <col min="3" max="3" width="10" style="31" customWidth="1"/>
    <col min="4" max="4" width="16" customWidth="1"/>
    <col min="5" max="5" width="11.42578125" style="61" customWidth="1"/>
    <col min="6" max="6" width="14.28515625" style="1" bestFit="1" customWidth="1"/>
    <col min="7" max="7" width="14.140625" style="1" customWidth="1"/>
    <col min="8" max="8" width="12.5703125" style="1" customWidth="1"/>
    <col min="9" max="9" width="13.28515625" style="58" customWidth="1"/>
    <col min="10" max="10" width="18.42578125" style="38" bestFit="1" customWidth="1"/>
    <col min="11" max="12" width="12.5703125" style="1" bestFit="1" customWidth="1"/>
    <col min="13" max="13" width="13.140625" style="1" bestFit="1" customWidth="1"/>
    <col min="14" max="16" width="12.5703125" style="1" bestFit="1" customWidth="1"/>
    <col min="17" max="17" width="13.140625" style="1" bestFit="1" customWidth="1"/>
    <col min="18" max="23" width="12.5703125" style="1" bestFit="1" customWidth="1"/>
    <col min="24" max="24" width="19" customWidth="1"/>
    <col min="25" max="29" width="14.28515625" style="1" bestFit="1" customWidth="1"/>
    <col min="30" max="30" width="6" customWidth="1"/>
    <col min="31" max="31" width="7" customWidth="1"/>
    <col min="32" max="36" width="6.7109375" customWidth="1"/>
  </cols>
  <sheetData>
    <row r="1" spans="1:51" x14ac:dyDescent="0.25">
      <c r="D1" s="27" t="s">
        <v>137</v>
      </c>
      <c r="Z1" s="38"/>
      <c r="AA1" s="38"/>
      <c r="AB1" s="38"/>
      <c r="AC1" s="38"/>
      <c r="AD1" s="90"/>
    </row>
    <row r="2" spans="1:51" x14ac:dyDescent="0.25">
      <c r="D2" s="25" t="s">
        <v>124</v>
      </c>
      <c r="E2" s="137" t="s">
        <v>126</v>
      </c>
      <c r="F2" s="138"/>
      <c r="G2" s="139" t="s">
        <v>127</v>
      </c>
      <c r="H2" s="139"/>
      <c r="I2" s="140"/>
      <c r="M2" s="99"/>
      <c r="N2" s="99"/>
      <c r="O2" s="99"/>
      <c r="P2" s="99"/>
      <c r="Q2" s="99"/>
      <c r="R2" s="99"/>
      <c r="S2" s="99"/>
      <c r="T2" s="99"/>
      <c r="U2" s="99"/>
      <c r="Z2" s="38"/>
      <c r="AA2" s="38"/>
      <c r="AB2" s="38"/>
      <c r="AC2" s="38"/>
      <c r="AD2" s="90"/>
    </row>
    <row r="3" spans="1:51" s="34" customFormat="1" ht="75" x14ac:dyDescent="0.25">
      <c r="A3" s="35"/>
      <c r="B3" s="35"/>
      <c r="C3" s="62"/>
      <c r="D3" s="32" t="s">
        <v>125</v>
      </c>
      <c r="E3" s="124" t="s">
        <v>130</v>
      </c>
      <c r="F3" s="125"/>
      <c r="G3" s="33" t="s">
        <v>163</v>
      </c>
      <c r="H3" s="33" t="s">
        <v>129</v>
      </c>
      <c r="I3" s="56" t="s">
        <v>128</v>
      </c>
      <c r="J3" s="39"/>
      <c r="K3" s="43"/>
      <c r="L3" s="43"/>
      <c r="M3" s="35"/>
      <c r="N3" s="100"/>
      <c r="O3" s="100"/>
      <c r="P3" s="100"/>
      <c r="Q3" s="35"/>
      <c r="R3" s="101"/>
      <c r="S3" s="101"/>
      <c r="T3" s="101"/>
      <c r="U3" s="102"/>
      <c r="V3" s="43"/>
      <c r="W3" s="43"/>
      <c r="Y3" s="43"/>
      <c r="Z3" s="94"/>
      <c r="AA3" s="94"/>
      <c r="AB3" s="94"/>
      <c r="AC3" s="94"/>
      <c r="AD3" s="87"/>
    </row>
    <row r="4" spans="1:51" x14ac:dyDescent="0.25">
      <c r="D4" s="24" t="s">
        <v>53</v>
      </c>
      <c r="E4" s="126">
        <f t="shared" ref="E4:E11" si="0">AVERAGEIF($D$16:$D$66,D4,$E$16:$E$66)</f>
        <v>9.9999999999999992E-2</v>
      </c>
      <c r="F4" s="127"/>
      <c r="G4" s="28">
        <f t="shared" ref="G4:G10" si="1">AVERAGEIF($D$16:$D$66,D4,$G$16:$G$66)</f>
        <v>694641.91200000001</v>
      </c>
      <c r="H4" s="28">
        <f t="shared" ref="H4:H11" ca="1" si="2">AVERAGEIF($D$16:$D$66,D4,$H$16:$H$66)</f>
        <v>39957.990000000005</v>
      </c>
      <c r="I4" s="57">
        <f t="shared" ref="I4:I11" si="3">AVERAGEIF($D$16:$D$66,$D4,I$16:I$66)</f>
        <v>0.11425923647762293</v>
      </c>
      <c r="M4" s="103"/>
      <c r="N4" s="99"/>
      <c r="O4" s="99"/>
      <c r="P4" s="99"/>
      <c r="Q4" s="103"/>
      <c r="R4" s="104"/>
      <c r="S4" s="104"/>
      <c r="T4" s="104"/>
      <c r="U4" s="99"/>
      <c r="Z4" s="38"/>
      <c r="AA4" s="38"/>
      <c r="AB4" s="38"/>
      <c r="AC4" s="38"/>
      <c r="AD4" s="90"/>
    </row>
    <row r="5" spans="1:51" x14ac:dyDescent="0.25">
      <c r="D5" s="24" t="s">
        <v>121</v>
      </c>
      <c r="E5" s="126">
        <f t="shared" si="0"/>
        <v>0.15821500000000002</v>
      </c>
      <c r="F5" s="127"/>
      <c r="G5" s="28">
        <f t="shared" si="1"/>
        <v>96368237.239952177</v>
      </c>
      <c r="H5" s="28">
        <f t="shared" ca="1" si="2"/>
        <v>12162663.629999997</v>
      </c>
      <c r="I5" s="57">
        <f t="shared" ca="1" si="3"/>
        <v>0.17259099671408151</v>
      </c>
      <c r="M5" s="103"/>
      <c r="N5" s="99"/>
      <c r="O5" s="99"/>
      <c r="P5" s="99"/>
      <c r="Q5" s="103"/>
      <c r="R5" s="104"/>
      <c r="S5" s="104"/>
      <c r="T5" s="104"/>
      <c r="U5" s="99"/>
      <c r="Z5" s="38"/>
      <c r="AA5" s="38"/>
      <c r="AB5" s="38"/>
      <c r="AC5" s="38"/>
      <c r="AD5" s="90"/>
    </row>
    <row r="6" spans="1:51" x14ac:dyDescent="0.25">
      <c r="D6" s="24" t="s">
        <v>64</v>
      </c>
      <c r="E6" s="126">
        <f t="shared" si="0"/>
        <v>9.9999999999999992E-2</v>
      </c>
      <c r="F6" s="127"/>
      <c r="G6" s="28">
        <f t="shared" si="1"/>
        <v>1046926.8679999999</v>
      </c>
      <c r="H6" s="28">
        <f t="shared" ca="1" si="2"/>
        <v>924815.1</v>
      </c>
      <c r="I6" s="57">
        <f t="shared" si="3"/>
        <v>8.6602341648453374E-2</v>
      </c>
      <c r="M6" s="103"/>
      <c r="N6" s="99"/>
      <c r="O6" s="99"/>
      <c r="P6" s="99"/>
      <c r="Q6" s="103"/>
      <c r="R6" s="104"/>
      <c r="S6" s="104"/>
      <c r="T6" s="104"/>
      <c r="U6" s="99"/>
      <c r="Z6" s="38"/>
      <c r="AA6" s="38"/>
      <c r="AB6" s="38"/>
      <c r="AC6" s="38"/>
      <c r="AD6" s="90"/>
    </row>
    <row r="7" spans="1:51" x14ac:dyDescent="0.25">
      <c r="D7" s="24" t="s">
        <v>120</v>
      </c>
      <c r="E7" s="126">
        <f t="shared" si="0"/>
        <v>0.25031738739456966</v>
      </c>
      <c r="F7" s="127"/>
      <c r="G7" s="28">
        <f t="shared" si="1"/>
        <v>64245372.586592928</v>
      </c>
      <c r="H7" s="28">
        <f t="shared" ca="1" si="2"/>
        <v>13749515.33</v>
      </c>
      <c r="I7" s="57">
        <f ca="1">AVERAGEIF($D$16:$D$66,$D7,I$16:I$66)</f>
        <v>0.12591132996001231</v>
      </c>
      <c r="J7" s="76"/>
      <c r="M7" s="103"/>
      <c r="N7" s="99"/>
      <c r="O7" s="99"/>
      <c r="P7" s="99"/>
      <c r="Q7" s="103"/>
      <c r="R7" s="104"/>
      <c r="S7" s="104"/>
      <c r="T7" s="104"/>
      <c r="U7" s="99"/>
      <c r="Z7" s="38"/>
      <c r="AA7" s="38"/>
      <c r="AB7" s="38"/>
      <c r="AC7" s="38"/>
      <c r="AD7" s="90"/>
    </row>
    <row r="8" spans="1:51" x14ac:dyDescent="0.25">
      <c r="D8" s="24" t="s">
        <v>122</v>
      </c>
      <c r="E8" s="126">
        <f t="shared" si="0"/>
        <v>0.15114000000000002</v>
      </c>
      <c r="F8" s="127"/>
      <c r="G8" s="28">
        <f t="shared" si="1"/>
        <v>110786042.14611124</v>
      </c>
      <c r="H8" s="28">
        <f t="shared" ca="1" si="2"/>
        <v>52058235.869999997</v>
      </c>
      <c r="I8" s="57">
        <f t="shared" ca="1" si="3"/>
        <v>5.9815900091390484E-2</v>
      </c>
      <c r="M8" s="103"/>
      <c r="N8" s="99"/>
      <c r="O8" s="99"/>
      <c r="P8" s="99"/>
      <c r="Q8" s="103"/>
      <c r="R8" s="104"/>
      <c r="S8" s="104"/>
      <c r="T8" s="104"/>
      <c r="U8" s="99"/>
      <c r="Z8" s="38"/>
      <c r="AA8" s="38"/>
      <c r="AB8" s="38"/>
      <c r="AC8" s="38"/>
      <c r="AD8" s="90"/>
    </row>
    <row r="9" spans="1:51" x14ac:dyDescent="0.25">
      <c r="D9" s="24" t="s">
        <v>119</v>
      </c>
      <c r="E9" s="126">
        <f t="shared" si="0"/>
        <v>0.19999999999999998</v>
      </c>
      <c r="F9" s="127"/>
      <c r="G9" s="28">
        <f t="shared" si="1"/>
        <v>150952893.01199996</v>
      </c>
      <c r="H9" s="28">
        <f t="shared" ca="1" si="2"/>
        <v>53227248.009999998</v>
      </c>
      <c r="I9" s="57">
        <f t="shared" ca="1" si="3"/>
        <v>8.3486858853496049E-2</v>
      </c>
      <c r="M9" s="103"/>
      <c r="N9" s="99"/>
      <c r="O9" s="99"/>
      <c r="P9" s="99"/>
      <c r="Q9" s="103"/>
      <c r="R9" s="104"/>
      <c r="S9" s="104"/>
      <c r="T9" s="104"/>
      <c r="U9" s="99"/>
      <c r="Z9" s="38"/>
      <c r="AA9" s="38"/>
      <c r="AB9" s="38"/>
      <c r="AC9" s="38"/>
      <c r="AD9" s="90"/>
    </row>
    <row r="10" spans="1:51" x14ac:dyDescent="0.25">
      <c r="D10" s="24" t="s">
        <v>117</v>
      </c>
      <c r="E10" s="126">
        <f t="shared" si="0"/>
        <v>9.9999999999999992E-2</v>
      </c>
      <c r="F10" s="127"/>
      <c r="G10" s="28">
        <f t="shared" si="1"/>
        <v>93197688.003999978</v>
      </c>
      <c r="H10" s="28">
        <f t="shared" ca="1" si="2"/>
        <v>18104807.379999999</v>
      </c>
      <c r="I10" s="57">
        <f t="shared" ca="1" si="3"/>
        <v>0.13432975769258282</v>
      </c>
      <c r="J10" s="80"/>
      <c r="M10" s="103"/>
      <c r="N10" s="99"/>
      <c r="O10" s="99"/>
      <c r="P10" s="99"/>
      <c r="Q10" s="103"/>
      <c r="R10" s="104"/>
      <c r="S10" s="104"/>
      <c r="T10" s="104"/>
      <c r="U10" s="99"/>
      <c r="Z10" s="38"/>
      <c r="AA10" s="38"/>
      <c r="AB10" s="38"/>
      <c r="AC10" s="38"/>
      <c r="AD10" s="90"/>
    </row>
    <row r="11" spans="1:51" x14ac:dyDescent="0.25">
      <c r="D11" s="24" t="s">
        <v>118</v>
      </c>
      <c r="E11" s="126">
        <f t="shared" si="0"/>
        <v>0.20624999999999999</v>
      </c>
      <c r="F11" s="127"/>
      <c r="G11" s="28">
        <f>AVERAGEIF($D$16:$D$66,D11,$G$16:$G$66)</f>
        <v>146877467.42893127</v>
      </c>
      <c r="H11" s="28">
        <f t="shared" ca="1" si="2"/>
        <v>68065726.450000018</v>
      </c>
      <c r="I11" s="66">
        <f t="shared" ca="1" si="3"/>
        <v>6.094864111130982E-2</v>
      </c>
      <c r="M11" s="103"/>
      <c r="N11" s="99"/>
      <c r="O11" s="99"/>
      <c r="P11" s="99"/>
      <c r="Q11" s="103"/>
      <c r="R11" s="104"/>
      <c r="S11" s="104"/>
      <c r="T11" s="104"/>
      <c r="U11" s="99"/>
      <c r="Z11" s="38"/>
      <c r="AA11" s="38"/>
      <c r="AB11" s="38"/>
      <c r="AC11" s="38"/>
      <c r="AD11" s="90"/>
    </row>
    <row r="12" spans="1:51" s="27" customFormat="1" x14ac:dyDescent="0.25">
      <c r="C12" s="48"/>
      <c r="D12" s="114"/>
      <c r="E12" s="128"/>
      <c r="F12" s="128"/>
      <c r="G12" s="115"/>
      <c r="H12" s="115"/>
      <c r="I12" s="116"/>
      <c r="J12" s="40"/>
      <c r="K12" s="44"/>
      <c r="L12" s="44"/>
      <c r="M12" s="105"/>
      <c r="N12" s="105"/>
      <c r="O12" s="105"/>
      <c r="P12" s="105"/>
      <c r="Q12" s="105"/>
      <c r="R12" s="106"/>
      <c r="S12" s="106"/>
      <c r="T12" s="106"/>
      <c r="U12" s="105"/>
      <c r="V12" s="44"/>
      <c r="W12" s="44"/>
      <c r="Y12" s="44"/>
      <c r="Z12" s="40"/>
      <c r="AA12" s="40"/>
      <c r="AB12" s="40"/>
      <c r="AC12" s="40"/>
      <c r="AD12" s="95"/>
    </row>
    <row r="13" spans="1:51" x14ac:dyDescent="0.25">
      <c r="A13" s="27" t="s">
        <v>136</v>
      </c>
      <c r="Z13" s="38"/>
      <c r="AA13" s="38"/>
      <c r="AB13" s="38"/>
      <c r="AC13" s="38"/>
      <c r="AD13" s="90"/>
    </row>
    <row r="14" spans="1:51" s="37" customFormat="1" ht="47.25" customHeight="1" x14ac:dyDescent="0.25">
      <c r="A14" s="36"/>
      <c r="B14" s="36"/>
      <c r="C14" s="63" t="s">
        <v>123</v>
      </c>
      <c r="D14" s="36" t="s">
        <v>124</v>
      </c>
      <c r="E14" s="135" t="s">
        <v>126</v>
      </c>
      <c r="F14" s="136"/>
      <c r="G14" s="129" t="s">
        <v>127</v>
      </c>
      <c r="H14" s="129"/>
      <c r="I14" s="130"/>
      <c r="J14" s="133" t="s">
        <v>146</v>
      </c>
      <c r="K14" s="133"/>
      <c r="L14" s="133"/>
      <c r="M14" s="133"/>
      <c r="N14" s="133"/>
      <c r="O14" s="133"/>
      <c r="P14" s="133"/>
      <c r="Q14" s="133"/>
      <c r="R14" s="133"/>
      <c r="S14" s="133"/>
      <c r="T14" s="133"/>
      <c r="U14" s="133"/>
      <c r="V14" s="133"/>
      <c r="W14" s="134"/>
      <c r="X14" s="36"/>
      <c r="Y14" s="46"/>
      <c r="Z14" s="131" t="s">
        <v>152</v>
      </c>
      <c r="AA14" s="132"/>
      <c r="AB14" s="131" t="s">
        <v>153</v>
      </c>
      <c r="AC14" s="132"/>
      <c r="AD14" s="89"/>
      <c r="AE14" s="89"/>
      <c r="AF14" s="89"/>
      <c r="AG14" s="89"/>
      <c r="AH14" s="89"/>
      <c r="AI14" s="89"/>
      <c r="AJ14" s="89"/>
      <c r="AK14" s="89"/>
      <c r="AL14" s="89"/>
      <c r="AM14" s="89"/>
      <c r="AN14" s="89"/>
    </row>
    <row r="15" spans="1:51" s="34" customFormat="1" ht="75" x14ac:dyDescent="0.25">
      <c r="A15" s="32" t="s">
        <v>131</v>
      </c>
      <c r="B15" s="32" t="s">
        <v>104</v>
      </c>
      <c r="C15" s="64" t="s">
        <v>144</v>
      </c>
      <c r="D15" s="32" t="s">
        <v>125</v>
      </c>
      <c r="E15" s="59" t="s">
        <v>130</v>
      </c>
      <c r="F15" s="33" t="s">
        <v>145</v>
      </c>
      <c r="G15" s="33" t="s">
        <v>163</v>
      </c>
      <c r="H15" s="33" t="s">
        <v>129</v>
      </c>
      <c r="I15" s="56" t="s">
        <v>128</v>
      </c>
      <c r="J15" s="41" t="s">
        <v>134</v>
      </c>
      <c r="K15" s="45">
        <v>2017</v>
      </c>
      <c r="L15" s="45">
        <f t="shared" ref="L15:W15" si="4">K15+1</f>
        <v>2018</v>
      </c>
      <c r="M15" s="45">
        <f t="shared" si="4"/>
        <v>2019</v>
      </c>
      <c r="N15" s="45">
        <f t="shared" si="4"/>
        <v>2020</v>
      </c>
      <c r="O15" s="45">
        <f t="shared" si="4"/>
        <v>2021</v>
      </c>
      <c r="P15" s="45">
        <f t="shared" si="4"/>
        <v>2022</v>
      </c>
      <c r="Q15" s="45">
        <f t="shared" si="4"/>
        <v>2023</v>
      </c>
      <c r="R15" s="45">
        <f t="shared" si="4"/>
        <v>2024</v>
      </c>
      <c r="S15" s="45">
        <f t="shared" si="4"/>
        <v>2025</v>
      </c>
      <c r="T15" s="45">
        <f t="shared" si="4"/>
        <v>2026</v>
      </c>
      <c r="U15" s="45">
        <f t="shared" si="4"/>
        <v>2027</v>
      </c>
      <c r="V15" s="45">
        <f t="shared" si="4"/>
        <v>2028</v>
      </c>
      <c r="W15" s="45">
        <f t="shared" si="4"/>
        <v>2029</v>
      </c>
      <c r="X15" s="26" t="s">
        <v>52</v>
      </c>
      <c r="Y15" s="41" t="s">
        <v>134</v>
      </c>
      <c r="Z15" s="96" t="s">
        <v>156</v>
      </c>
      <c r="AA15" s="96" t="s">
        <v>160</v>
      </c>
      <c r="AB15" s="96" t="s">
        <v>158</v>
      </c>
      <c r="AC15" s="96" t="s">
        <v>161</v>
      </c>
      <c r="AD15" s="87"/>
      <c r="AE15" s="87"/>
      <c r="AF15" s="87"/>
      <c r="AG15" s="87"/>
      <c r="AH15" s="87"/>
      <c r="AI15" s="87"/>
      <c r="AJ15" s="87"/>
      <c r="AK15" s="87"/>
      <c r="AL15" s="87"/>
      <c r="AM15" s="87"/>
      <c r="AN15" s="87"/>
    </row>
    <row r="16" spans="1:51" x14ac:dyDescent="0.25">
      <c r="A16" s="24" t="s">
        <v>54</v>
      </c>
      <c r="B16" s="24" t="s">
        <v>50</v>
      </c>
      <c r="C16" s="30" t="str">
        <f>IF(VLOOKUP(A16,'Input - Effective RE Level'!$A$2:$B$52,2,FALSE)=0,"",VLOOKUP(A16,'Input - Effective RE Level'!$A$2:$B$52,2,FALSE))</f>
        <v/>
      </c>
      <c r="D16" s="24" t="s">
        <v>117</v>
      </c>
      <c r="E16" s="60">
        <f>(AVERAGEIF($D$16:$D$66,D16,$C$16:$C$66))</f>
        <v>0.1</v>
      </c>
      <c r="F16" s="28">
        <f>E16*VLOOKUP(B16,'Input- EIA 2012 Generation Data'!$A$2:$H$52,8,FALSE)</f>
        <v>15287868.77</v>
      </c>
      <c r="G16" s="28">
        <f>(SUMIF('Input- EIA 2012 Generation Data'!$B$2:$B$52,'Calc Method Using MWh'!D16,'Input- EIA 2012 Generation Data'!$H$2:$H$52)*AVERAGEIF($D$16:$D$66,D16,$E$16:$E$66))</f>
        <v>93197688.003999993</v>
      </c>
      <c r="H16" s="28">
        <f ca="1">SUMIF('Input- EIA 2012 Generation Data'!$B$2:$G$52,'Calc Method Using MWh'!D16,'Input- EIA 2012 Generation Data'!$D$2:$D$52)</f>
        <v>18104807.379999999</v>
      </c>
      <c r="I16" s="57">
        <f ca="1">(G16/H16)^(1/13)-1</f>
        <v>0.13432975769258282</v>
      </c>
      <c r="J16" s="42">
        <f>VLOOKUP(B16,'Input- EIA 2012 Generation Data'!$A$2:$G$52,4,FALSE)</f>
        <v>2776554</v>
      </c>
      <c r="K16" s="28">
        <f ca="1">MIN(J16*(1+$I16),$F16)</f>
        <v>3149527.8260403718</v>
      </c>
      <c r="L16" s="28">
        <f t="shared" ref="L16:W16" ca="1" si="5">MIN(K16*(1+$I16),$F16)</f>
        <v>3572603.1357584218</v>
      </c>
      <c r="M16" s="28">
        <f t="shared" ca="1" si="5"/>
        <v>4052510.0493166121</v>
      </c>
      <c r="N16" s="28">
        <f t="shared" ca="1" si="5"/>
        <v>4596882.7422880698</v>
      </c>
      <c r="O16" s="28">
        <f t="shared" ca="1" si="5"/>
        <v>5214380.8872008417</v>
      </c>
      <c r="P16" s="28">
        <f t="shared" ca="1" si="5"/>
        <v>5914827.408295366</v>
      </c>
      <c r="Q16" s="28">
        <f t="shared" ca="1" si="5"/>
        <v>6709364.7408451298</v>
      </c>
      <c r="R16" s="28">
        <f t="shared" ca="1" si="5"/>
        <v>7610632.0807540147</v>
      </c>
      <c r="S16" s="28">
        <f t="shared" ca="1" si="5"/>
        <v>8632966.4440490995</v>
      </c>
      <c r="T16" s="28">
        <f t="shared" ca="1" si="5"/>
        <v>9792630.7346464135</v>
      </c>
      <c r="U16" s="28">
        <f t="shared" ca="1" si="5"/>
        <v>11108072.448404405</v>
      </c>
      <c r="V16" s="28">
        <f t="shared" ca="1" si="5"/>
        <v>12600217.128830224</v>
      </c>
      <c r="W16" s="28">
        <f t="shared" ca="1" si="5"/>
        <v>14292801.242619921</v>
      </c>
      <c r="X16" s="24" t="s">
        <v>54</v>
      </c>
      <c r="Y16" s="28">
        <f>J16</f>
        <v>2776554</v>
      </c>
      <c r="Z16" s="42">
        <f ca="1">AVERAGE(N16:W16)</f>
        <v>8647277.585793348</v>
      </c>
      <c r="AA16" s="42">
        <f ca="1">W16</f>
        <v>14292801.242619921</v>
      </c>
      <c r="AB16" s="42">
        <f ca="1">AVERAGE(N16:R16)</f>
        <v>6009217.5718766842</v>
      </c>
      <c r="AC16" s="42">
        <f ca="1">R16</f>
        <v>7610632.0807540147</v>
      </c>
      <c r="AD16" s="90"/>
      <c r="AE16" s="91"/>
      <c r="AF16" s="91"/>
      <c r="AG16" s="91"/>
      <c r="AH16" s="91"/>
      <c r="AI16" s="91"/>
      <c r="AJ16" s="91"/>
      <c r="AK16" s="90"/>
      <c r="AL16" s="90"/>
      <c r="AM16" s="90"/>
      <c r="AN16" s="90"/>
      <c r="AP16" s="121"/>
      <c r="AQ16" s="121"/>
      <c r="AR16" s="121"/>
      <c r="AS16" s="121"/>
      <c r="AT16" s="121"/>
      <c r="AU16" s="121"/>
      <c r="AV16" s="121"/>
      <c r="AW16" s="121"/>
      <c r="AX16" s="121"/>
      <c r="AY16" s="121"/>
    </row>
    <row r="17" spans="1:51" x14ac:dyDescent="0.25">
      <c r="A17" s="24" t="s">
        <v>53</v>
      </c>
      <c r="B17" s="24" t="s">
        <v>51</v>
      </c>
      <c r="C17" s="30" t="str">
        <f>IF(VLOOKUP(A17,'Input - Effective RE Level'!$A$2:$B$52,2,FALSE)=0,"",VLOOKUP(A17,'Input - Effective RE Level'!$A$2:$B$52,2,FALSE))</f>
        <v/>
      </c>
      <c r="D17" s="24" t="s">
        <v>53</v>
      </c>
      <c r="E17" s="60">
        <f>MIN(E5,E8:E11)</f>
        <v>9.9999999999999992E-2</v>
      </c>
      <c r="F17" s="28">
        <f>E17*VLOOKUP(B17,'Input- EIA 2012 Generation Data'!$A$2:$H$52,8,FALSE)</f>
        <v>694641.91200000001</v>
      </c>
      <c r="G17" s="28">
        <f>(SUMIF('Input- EIA 2012 Generation Data'!$B$2:$B$52,'Calc Method Using MWh'!D17,'Input- EIA 2012 Generation Data'!$H$2:$H$52)*AVERAGEIF($D$16:$D$66,D17,$E$16:$E$66))</f>
        <v>694641.91200000001</v>
      </c>
      <c r="H17" s="28">
        <f ca="1">SUMIF('Input- EIA 2012 Generation Data'!$B$2:$G$52,'Calc Method Using MWh'!D17,'Input- EIA 2012 Generation Data'!$D$2:$D$52)</f>
        <v>39957.990000000005</v>
      </c>
      <c r="I17" s="79">
        <f>'Input- EIA 2012 Generation Data'!C72</f>
        <v>0.11425923647762293</v>
      </c>
      <c r="J17" s="42">
        <f>VLOOKUP(B17,'Input- EIA 2012 Generation Data'!$A$2:$G$52,4,FALSE)</f>
        <v>39957.990000000005</v>
      </c>
      <c r="K17" s="28">
        <f t="shared" ref="K17:W66" si="6">MIN(J17*(1+$I17),$F17)</f>
        <v>44523.559428580498</v>
      </c>
      <c r="L17" s="28">
        <f t="shared" si="6"/>
        <v>49610.787334156172</v>
      </c>
      <c r="M17" s="28">
        <f t="shared" si="6"/>
        <v>55279.278016010583</v>
      </c>
      <c r="N17" s="28">
        <f t="shared" si="6"/>
        <v>61595.446115154198</v>
      </c>
      <c r="O17" s="28">
        <f t="shared" si="6"/>
        <v>68633.29475877028</v>
      </c>
      <c r="P17" s="28">
        <f t="shared" si="6"/>
        <v>76475.282614851007</v>
      </c>
      <c r="Q17" s="28">
        <f t="shared" si="6"/>
        <v>85213.290015834311</v>
      </c>
      <c r="R17" s="28">
        <f t="shared" si="6"/>
        <v>94949.695470789782</v>
      </c>
      <c r="S17" s="28">
        <f t="shared" si="6"/>
        <v>105798.57517906504</v>
      </c>
      <c r="T17" s="28">
        <f t="shared" si="6"/>
        <v>117887.0395994454</v>
      </c>
      <c r="U17" s="28">
        <f t="shared" si="6"/>
        <v>131356.72273468532</v>
      </c>
      <c r="V17" s="28">
        <f t="shared" si="6"/>
        <v>146365.44158055328</v>
      </c>
      <c r="W17" s="28">
        <f t="shared" si="6"/>
        <v>163089.04518225743</v>
      </c>
      <c r="X17" s="24" t="s">
        <v>53</v>
      </c>
      <c r="Y17" s="28">
        <f t="shared" ref="Y17:Y66" si="7">J17</f>
        <v>39957.990000000005</v>
      </c>
      <c r="Z17" s="42">
        <f t="shared" ref="Z17:Z66" si="8">AVERAGE(N17:W17)</f>
        <v>105136.3833251406</v>
      </c>
      <c r="AA17" s="42">
        <f t="shared" ref="AA17:AA66" si="9">W17</f>
        <v>163089.04518225743</v>
      </c>
      <c r="AB17" s="42">
        <f t="shared" ref="AB17:AB66" si="10">AVERAGE(N17:R17)</f>
        <v>77373.401795079917</v>
      </c>
      <c r="AC17" s="42">
        <f t="shared" ref="AC17:AC66" si="11">R17</f>
        <v>94949.695470789782</v>
      </c>
      <c r="AD17" s="90"/>
      <c r="AE17" s="91"/>
      <c r="AF17" s="91"/>
      <c r="AG17" s="91"/>
      <c r="AH17" s="91"/>
      <c r="AI17" s="91"/>
      <c r="AJ17" s="91"/>
      <c r="AK17" s="90"/>
      <c r="AL17" s="90"/>
      <c r="AM17" s="90"/>
      <c r="AN17" s="90"/>
      <c r="AP17" s="121"/>
      <c r="AQ17" s="121"/>
      <c r="AR17" s="121"/>
      <c r="AS17" s="121"/>
      <c r="AT17" s="121"/>
      <c r="AU17" s="121"/>
      <c r="AV17" s="121"/>
      <c r="AW17" s="121"/>
      <c r="AX17" s="121"/>
      <c r="AY17" s="121"/>
    </row>
    <row r="18" spans="1:51" x14ac:dyDescent="0.25">
      <c r="A18" s="24" t="s">
        <v>56</v>
      </c>
      <c r="B18" s="24" t="s">
        <v>48</v>
      </c>
      <c r="C18" s="30">
        <f>IF(VLOOKUP(A18,'Input - Effective RE Level'!$A$2:$B$52,2,FALSE)=0,"",VLOOKUP(A18,'Input - Effective RE Level'!$A$2:$B$52,2,FALSE))</f>
        <v>0.1</v>
      </c>
      <c r="D18" s="24" t="s">
        <v>118</v>
      </c>
      <c r="E18" s="60">
        <f>(AVERAGEIF($D$16:$D$66,D18,$C$16:$C$66))</f>
        <v>0.20624999999999999</v>
      </c>
      <c r="F18" s="28">
        <f>E18*VLOOKUP(B18,'Input- EIA 2012 Generation Data'!$A$2:$H$52,8,FALSE)</f>
        <v>19597240.817735624</v>
      </c>
      <c r="G18" s="28">
        <f>(SUMIF('Input- EIA 2012 Generation Data'!$B$2:$B$52,'Calc Method Using MWh'!D18,'Input- EIA 2012 Generation Data'!$H$2:$H$52)*AVERAGEIF($D$16:$D$66,D18,$E$16:$E$66))</f>
        <v>146877467.42893127</v>
      </c>
      <c r="H18" s="28">
        <f ca="1">SUMIF('Input- EIA 2012 Generation Data'!$B$2:$G$52,'Calc Method Using MWh'!D18,'Input- EIA 2012 Generation Data'!$D$2:$D$52)</f>
        <v>68065726.450000003</v>
      </c>
      <c r="I18" s="57">
        <f t="shared" ref="I18:I26" ca="1" si="12">(G18/H18)^(1/13)-1</f>
        <v>6.094864111130982E-2</v>
      </c>
      <c r="J18" s="42">
        <f>VLOOKUP(B18,'Input- EIA 2012 Generation Data'!$A$2:$G$52,4,FALSE)</f>
        <v>1697652.48</v>
      </c>
      <c r="K18" s="28">
        <f ca="1">MIN(J18*(1+$I18),$F18)</f>
        <v>1801122.091735245</v>
      </c>
      <c r="L18" s="28">
        <f t="shared" ca="1" si="6"/>
        <v>1910898.0357020681</v>
      </c>
      <c r="M18" s="28">
        <f t="shared" ca="1" si="6"/>
        <v>2027364.6742803804</v>
      </c>
      <c r="N18" s="28">
        <f t="shared" ca="1" si="6"/>
        <v>2150929.7962148427</v>
      </c>
      <c r="O18" s="28">
        <f t="shared" ca="1" si="6"/>
        <v>2282026.0444199638</v>
      </c>
      <c r="P18" s="28">
        <f t="shared" ca="1" si="6"/>
        <v>2421112.4308079784</v>
      </c>
      <c r="Q18" s="28">
        <f t="shared" ca="1" si="6"/>
        <v>2568675.943443425</v>
      </c>
      <c r="R18" s="28">
        <f t="shared" ca="1" si="6"/>
        <v>2725233.2516516135</v>
      </c>
      <c r="S18" s="28">
        <f t="shared" ca="1" si="6"/>
        <v>2891332.5150511358</v>
      </c>
      <c r="T18" s="28">
        <f t="shared" ca="1" si="6"/>
        <v>3067555.3028444485</v>
      </c>
      <c r="U18" s="28">
        <f t="shared" ca="1" si="6"/>
        <v>3254518.6300866101</v>
      </c>
      <c r="V18" s="28">
        <f t="shared" ca="1" si="6"/>
        <v>3452877.1180618308</v>
      </c>
      <c r="W18" s="28">
        <f t="shared" ca="1" si="6"/>
        <v>3663325.286332035</v>
      </c>
      <c r="X18" s="24" t="s">
        <v>56</v>
      </c>
      <c r="Y18" s="28">
        <f t="shared" si="7"/>
        <v>1697652.48</v>
      </c>
      <c r="Z18" s="42">
        <f t="shared" ca="1" si="8"/>
        <v>2847758.631891388</v>
      </c>
      <c r="AA18" s="42">
        <f t="shared" ca="1" si="9"/>
        <v>3663325.286332035</v>
      </c>
      <c r="AB18" s="42">
        <f t="shared" ca="1" si="10"/>
        <v>2429595.4933075644</v>
      </c>
      <c r="AC18" s="42">
        <f t="shared" ca="1" si="11"/>
        <v>2725233.2516516135</v>
      </c>
      <c r="AD18" s="90"/>
      <c r="AE18" s="91"/>
      <c r="AF18" s="91"/>
      <c r="AG18" s="91"/>
      <c r="AH18" s="91"/>
      <c r="AI18" s="91"/>
      <c r="AJ18" s="91"/>
      <c r="AK18" s="90"/>
      <c r="AL18" s="90"/>
      <c r="AM18" s="90"/>
      <c r="AN18" s="90"/>
      <c r="AP18" s="121"/>
      <c r="AQ18" s="121"/>
      <c r="AR18" s="121"/>
      <c r="AS18" s="121"/>
      <c r="AT18" s="121"/>
      <c r="AU18" s="121"/>
      <c r="AV18" s="121"/>
      <c r="AW18" s="121"/>
      <c r="AX18" s="121"/>
      <c r="AY18" s="121"/>
    </row>
    <row r="19" spans="1:51" x14ac:dyDescent="0.25">
      <c r="A19" s="24" t="s">
        <v>55</v>
      </c>
      <c r="B19" s="24" t="s">
        <v>49</v>
      </c>
      <c r="C19" s="30" t="str">
        <f>IF(VLOOKUP(A19,'Input - Effective RE Level'!$A$2:$B$52,2,FALSE)=0,"",VLOOKUP(A19,'Input - Effective RE Level'!$A$2:$B$52,2,FALSE))</f>
        <v/>
      </c>
      <c r="D19" s="24" t="s">
        <v>119</v>
      </c>
      <c r="E19" s="60">
        <f t="shared" ref="E19:E26" si="13">(AVERAGEIF($D$16:$D$66,D19,$C$16:$C$66))</f>
        <v>0.2</v>
      </c>
      <c r="F19" s="28">
        <f>E19*VLOOKUP(B19,'Input- EIA 2012 Generation Data'!$A$2:$H$52,8,FALSE)</f>
        <v>13001135.594000001</v>
      </c>
      <c r="G19" s="28">
        <f>(SUMIF('Input- EIA 2012 Generation Data'!$B$2:$B$52,'Calc Method Using MWh'!D19,'Input- EIA 2012 Generation Data'!$H$2:$H$52)*AVERAGEIF($D$16:$D$66,D19,$E$16:$E$66))</f>
        <v>150952893.01199996</v>
      </c>
      <c r="H19" s="28">
        <f ca="1">SUMIF('Input- EIA 2012 Generation Data'!$B$2:$G$52,'Calc Method Using MWh'!D19,'Input- EIA 2012 Generation Data'!$D$2:$D$52)</f>
        <v>53227248.009999998</v>
      </c>
      <c r="I19" s="57">
        <f t="shared" ca="1" si="12"/>
        <v>8.3486858853496049E-2</v>
      </c>
      <c r="J19" s="42">
        <f>VLOOKUP(B19,'Input- EIA 2012 Generation Data'!$A$2:$G$52,4,FALSE)</f>
        <v>1660370.07</v>
      </c>
      <c r="K19" s="28">
        <f t="shared" ca="1" si="6"/>
        <v>1798989.1516786595</v>
      </c>
      <c r="L19" s="28">
        <f t="shared" ca="1" si="6"/>
        <v>1949181.1050638263</v>
      </c>
      <c r="M19" s="28">
        <f t="shared" ca="1" si="6"/>
        <v>2111912.1128621916</v>
      </c>
      <c r="N19" s="28">
        <f t="shared" ca="1" si="6"/>
        <v>2288229.0213397061</v>
      </c>
      <c r="O19" s="28">
        <f t="shared" ca="1" si="6"/>
        <v>2479266.0746687674</v>
      </c>
      <c r="P19" s="28">
        <f t="shared" ca="1" si="6"/>
        <v>2686252.2115048999</v>
      </c>
      <c r="Q19" s="28">
        <f t="shared" ca="1" si="6"/>
        <v>2910518.9707317012</v>
      </c>
      <c r="R19" s="28">
        <f t="shared" ca="1" si="6"/>
        <v>3153509.0572316013</v>
      </c>
      <c r="S19" s="28">
        <f t="shared" ca="1" si="6"/>
        <v>3416785.6227859175</v>
      </c>
      <c r="T19" s="28">
        <f t="shared" ca="1" si="6"/>
        <v>3702042.3218080997</v>
      </c>
      <c r="U19" s="28">
        <f t="shared" ca="1" si="6"/>
        <v>4011114.2065985613</v>
      </c>
      <c r="V19" s="28">
        <f t="shared" ca="1" si="6"/>
        <v>4345989.5322101079</v>
      </c>
      <c r="W19" s="28">
        <f t="shared" ca="1" si="6"/>
        <v>4708822.5468645049</v>
      </c>
      <c r="X19" s="24" t="s">
        <v>55</v>
      </c>
      <c r="Y19" s="28">
        <f t="shared" si="7"/>
        <v>1660370.07</v>
      </c>
      <c r="Z19" s="42">
        <f t="shared" ca="1" si="8"/>
        <v>3370252.9565743865</v>
      </c>
      <c r="AA19" s="42">
        <f t="shared" ca="1" si="9"/>
        <v>4708822.5468645049</v>
      </c>
      <c r="AB19" s="42">
        <f t="shared" ca="1" si="10"/>
        <v>2703555.0670953351</v>
      </c>
      <c r="AC19" s="42">
        <f t="shared" ca="1" si="11"/>
        <v>3153509.0572316013</v>
      </c>
      <c r="AD19" s="90"/>
      <c r="AE19" s="91"/>
      <c r="AF19" s="91"/>
      <c r="AG19" s="91"/>
      <c r="AH19" s="91"/>
      <c r="AI19" s="91"/>
      <c r="AJ19" s="91"/>
      <c r="AK19" s="90"/>
      <c r="AL19" s="90"/>
      <c r="AM19" s="90"/>
      <c r="AN19" s="90"/>
      <c r="AP19" s="121"/>
      <c r="AQ19" s="121"/>
      <c r="AR19" s="121"/>
      <c r="AS19" s="121"/>
      <c r="AT19" s="121"/>
      <c r="AU19" s="121"/>
      <c r="AV19" s="121"/>
      <c r="AW19" s="121"/>
      <c r="AX19" s="121"/>
      <c r="AY19" s="121"/>
    </row>
    <row r="20" spans="1:51" x14ac:dyDescent="0.25">
      <c r="A20" s="24" t="s">
        <v>57</v>
      </c>
      <c r="B20" s="24" t="s">
        <v>47</v>
      </c>
      <c r="C20" s="30">
        <f>IF(VLOOKUP(A20,'Input - Effective RE Level'!$A$2:$B$52,2,FALSE)=0,"",VLOOKUP(A20,'Input - Effective RE Level'!$A$2:$B$52,2,FALSE))</f>
        <v>0.33</v>
      </c>
      <c r="D20" s="24" t="s">
        <v>118</v>
      </c>
      <c r="E20" s="60">
        <f t="shared" si="13"/>
        <v>0.20624999999999999</v>
      </c>
      <c r="F20" s="28">
        <f>E20*VLOOKUP(B20,'Input- EIA 2012 Generation Data'!$A$2:$H$52,8,FALSE)</f>
        <v>41150704.3839375</v>
      </c>
      <c r="G20" s="28">
        <f>(SUMIF('Input- EIA 2012 Generation Data'!$B$2:$B$52,'Calc Method Using MWh'!D20,'Input- EIA 2012 Generation Data'!$H$2:$H$52)*AVERAGEIF($D$16:$D$66,D20,$E$16:$E$66))</f>
        <v>146877467.42893127</v>
      </c>
      <c r="H20" s="28">
        <f ca="1">SUMIF('Input- EIA 2012 Generation Data'!$B$2:$G$52,'Calc Method Using MWh'!D20,'Input- EIA 2012 Generation Data'!$D$2:$D$52)</f>
        <v>68065726.450000003</v>
      </c>
      <c r="I20" s="57">
        <f t="shared" ca="1" si="12"/>
        <v>6.094864111130982E-2</v>
      </c>
      <c r="J20" s="42">
        <f>VLOOKUP(B20,'Input- EIA 2012 Generation Data'!$A$2:$G$52,4,FALSE)</f>
        <v>29966845.640000001</v>
      </c>
      <c r="K20" s="28">
        <f ca="1">MIN(J20*(1+$I20),$F20)</f>
        <v>31793284.160150379</v>
      </c>
      <c r="L20" s="28">
        <f t="shared" ca="1" si="6"/>
        <v>33731041.626177274</v>
      </c>
      <c r="M20" s="28">
        <f t="shared" ca="1" si="6"/>
        <v>35786902.776561804</v>
      </c>
      <c r="N20" s="28">
        <f t="shared" ca="1" si="6"/>
        <v>37968065.870375805</v>
      </c>
      <c r="O20" s="28">
        <f t="shared" ca="1" si="6"/>
        <v>40282167.89079991</v>
      </c>
      <c r="P20" s="28">
        <f t="shared" ca="1" si="6"/>
        <v>41150704.3839375</v>
      </c>
      <c r="Q20" s="28">
        <f t="shared" ca="1" si="6"/>
        <v>41150704.3839375</v>
      </c>
      <c r="R20" s="28">
        <f t="shared" ca="1" si="6"/>
        <v>41150704.3839375</v>
      </c>
      <c r="S20" s="28">
        <f t="shared" ca="1" si="6"/>
        <v>41150704.3839375</v>
      </c>
      <c r="T20" s="28">
        <f t="shared" ca="1" si="6"/>
        <v>41150704.3839375</v>
      </c>
      <c r="U20" s="28">
        <f t="shared" ca="1" si="6"/>
        <v>41150704.3839375</v>
      </c>
      <c r="V20" s="28">
        <f t="shared" ca="1" si="6"/>
        <v>41150704.3839375</v>
      </c>
      <c r="W20" s="28">
        <f t="shared" ca="1" si="6"/>
        <v>41150704.3839375</v>
      </c>
      <c r="X20" s="24" t="s">
        <v>57</v>
      </c>
      <c r="Y20" s="28">
        <f t="shared" si="7"/>
        <v>29966845.640000001</v>
      </c>
      <c r="Z20" s="42">
        <f ca="1">AVERAGE(N20:W20)</f>
        <v>40745586.883267567</v>
      </c>
      <c r="AA20" s="42">
        <f ca="1">W20</f>
        <v>41150704.3839375</v>
      </c>
      <c r="AB20" s="42">
        <f ca="1">AVERAGE(N20:R20)</f>
        <v>40340469.382597648</v>
      </c>
      <c r="AC20" s="42">
        <f t="shared" ca="1" si="11"/>
        <v>41150704.3839375</v>
      </c>
      <c r="AD20" s="90"/>
      <c r="AE20" s="91"/>
      <c r="AF20" s="91"/>
      <c r="AG20" s="91"/>
      <c r="AH20" s="91"/>
      <c r="AI20" s="91"/>
      <c r="AJ20" s="91"/>
      <c r="AK20" s="90"/>
      <c r="AL20" s="90"/>
      <c r="AM20" s="90"/>
      <c r="AN20" s="90"/>
      <c r="AP20" s="121"/>
      <c r="AQ20" s="121"/>
      <c r="AR20" s="121"/>
      <c r="AS20" s="121"/>
      <c r="AT20" s="121"/>
      <c r="AU20" s="121"/>
      <c r="AV20" s="121"/>
      <c r="AW20" s="121"/>
      <c r="AX20" s="121"/>
      <c r="AY20" s="121"/>
    </row>
    <row r="21" spans="1:51" x14ac:dyDescent="0.25">
      <c r="A21" s="24" t="s">
        <v>58</v>
      </c>
      <c r="B21" s="24" t="s">
        <v>46</v>
      </c>
      <c r="C21" s="30">
        <f>IF(VLOOKUP(A21,'Input - Effective RE Level'!$A$2:$B$52,2,FALSE)=0,"",VLOOKUP(A21,'Input - Effective RE Level'!$A$2:$B$52,2,FALSE))</f>
        <v>0.30000000000000004</v>
      </c>
      <c r="D21" s="24" t="s">
        <v>118</v>
      </c>
      <c r="E21" s="60">
        <f t="shared" si="13"/>
        <v>0.20624999999999999</v>
      </c>
      <c r="F21" s="28">
        <f>E21*VLOOKUP(B21,'Input- EIA 2012 Generation Data'!$A$2:$H$52,8,FALSE)</f>
        <v>10839819.603937499</v>
      </c>
      <c r="G21" s="28">
        <f>(SUMIF('Input- EIA 2012 Generation Data'!$B$2:$B$52,'Calc Method Using MWh'!D21,'Input- EIA 2012 Generation Data'!$H$2:$H$52)*AVERAGEIF($D$16:$D$66,D21,$E$16:$E$66))</f>
        <v>146877467.42893127</v>
      </c>
      <c r="H21" s="28">
        <f ca="1">SUMIF('Input- EIA 2012 Generation Data'!$B$2:$G$52,'Calc Method Using MWh'!D21,'Input- EIA 2012 Generation Data'!$D$2:$D$52)</f>
        <v>68065726.450000003</v>
      </c>
      <c r="I21" s="57">
        <f t="shared" ca="1" si="12"/>
        <v>6.094864111130982E-2</v>
      </c>
      <c r="J21" s="42">
        <f>VLOOKUP(B21,'Input- EIA 2012 Generation Data'!$A$2:$G$52,4,FALSE)</f>
        <v>6192081.7999999998</v>
      </c>
      <c r="K21" s="28">
        <f t="shared" ca="1" si="6"/>
        <v>6569480.7713600732</v>
      </c>
      <c r="L21" s="28">
        <f t="shared" ca="1" si="6"/>
        <v>6969881.6971813487</v>
      </c>
      <c r="M21" s="28">
        <f t="shared" ca="1" si="6"/>
        <v>7394686.5153311417</v>
      </c>
      <c r="N21" s="28">
        <f t="shared" ca="1" si="6"/>
        <v>7845382.6098847017</v>
      </c>
      <c r="O21" s="28">
        <f t="shared" ca="1" si="6"/>
        <v>8323548.0189554757</v>
      </c>
      <c r="P21" s="28">
        <f t="shared" ca="1" si="6"/>
        <v>8830856.9599355459</v>
      </c>
      <c r="Q21" s="28">
        <f t="shared" ca="1" si="6"/>
        <v>9369085.6914919708</v>
      </c>
      <c r="R21" s="28">
        <f t="shared" ca="1" si="6"/>
        <v>9940118.7328438237</v>
      </c>
      <c r="S21" s="28">
        <f t="shared" ca="1" si="6"/>
        <v>10545955.46209573</v>
      </c>
      <c r="T21" s="28">
        <f t="shared" ca="1" si="6"/>
        <v>10839819.603937499</v>
      </c>
      <c r="U21" s="28">
        <f t="shared" ca="1" si="6"/>
        <v>10839819.603937499</v>
      </c>
      <c r="V21" s="28">
        <f t="shared" ca="1" si="6"/>
        <v>10839819.603937499</v>
      </c>
      <c r="W21" s="28">
        <f t="shared" ca="1" si="6"/>
        <v>10839819.603937499</v>
      </c>
      <c r="X21" s="24" t="s">
        <v>58</v>
      </c>
      <c r="Y21" s="28">
        <f t="shared" si="7"/>
        <v>6192081.7999999998</v>
      </c>
      <c r="Z21" s="42">
        <f t="shared" ca="1" si="8"/>
        <v>9821422.5890957266</v>
      </c>
      <c r="AA21" s="42">
        <f t="shared" ca="1" si="9"/>
        <v>10839819.603937499</v>
      </c>
      <c r="AB21" s="42">
        <f t="shared" ca="1" si="10"/>
        <v>8861798.402622303</v>
      </c>
      <c r="AC21" s="42">
        <f t="shared" ca="1" si="11"/>
        <v>9940118.7328438237</v>
      </c>
      <c r="AD21" s="90"/>
      <c r="AE21" s="91"/>
      <c r="AF21" s="91"/>
      <c r="AG21" s="91"/>
      <c r="AH21" s="91"/>
      <c r="AI21" s="91"/>
      <c r="AJ21" s="91"/>
      <c r="AK21" s="90"/>
      <c r="AL21" s="90"/>
      <c r="AM21" s="90"/>
      <c r="AN21" s="90"/>
      <c r="AP21" s="121"/>
      <c r="AQ21" s="121"/>
      <c r="AR21" s="121"/>
      <c r="AS21" s="121"/>
      <c r="AT21" s="121"/>
      <c r="AU21" s="121"/>
      <c r="AV21" s="121"/>
      <c r="AW21" s="121"/>
      <c r="AX21" s="121"/>
      <c r="AY21" s="121"/>
    </row>
    <row r="22" spans="1:51" x14ac:dyDescent="0.25">
      <c r="A22" s="24" t="s">
        <v>59</v>
      </c>
      <c r="B22" s="24" t="s">
        <v>45</v>
      </c>
      <c r="C22" s="30">
        <f>IF(VLOOKUP(A22,'Input - Effective RE Level'!$A$2:$B$52,2,FALSE)=0,"",VLOOKUP(A22,'Input - Effective RE Level'!$A$2:$B$52,2,FALSE))</f>
        <v>0.23</v>
      </c>
      <c r="D22" s="24" t="s">
        <v>120</v>
      </c>
      <c r="E22" s="60">
        <f t="shared" si="13"/>
        <v>0.25031738739456966</v>
      </c>
      <c r="F22" s="28">
        <f>E22*VLOOKUP(B22,'Input- EIA 2012 Generation Data'!$A$2:$H$52,8,FALSE)</f>
        <v>9040849.2406725455</v>
      </c>
      <c r="G22" s="28">
        <f>(SUMIF('Input- EIA 2012 Generation Data'!$B$2:$B$52,'Calc Method Using MWh'!D22,'Input- EIA 2012 Generation Data'!$H$2:$H$52)*AVERAGEIF($D$16:$D$66,D22,$E$16:$E$66))</f>
        <v>64245372.586592935</v>
      </c>
      <c r="H22" s="28">
        <f ca="1">SUMIF('Input- EIA 2012 Generation Data'!$B$2:$G$52,'Calc Method Using MWh'!D22,'Input- EIA 2012 Generation Data'!$D$2:$D$52)</f>
        <v>13749515.33</v>
      </c>
      <c r="I22" s="57">
        <f t="shared" ca="1" si="12"/>
        <v>0.12591132996001231</v>
      </c>
      <c r="J22" s="42">
        <f>VLOOKUP(B22,'Input- EIA 2012 Generation Data'!$A$2:$G$52,4,FALSE)</f>
        <v>666524.91</v>
      </c>
      <c r="K22" s="28">
        <f t="shared" ca="1" si="6"/>
        <v>750447.94786957756</v>
      </c>
      <c r="L22" s="28">
        <f t="shared" ca="1" si="6"/>
        <v>844937.84705159802</v>
      </c>
      <c r="M22" s="28">
        <f t="shared" ca="1" si="6"/>
        <v>951325.09510741418</v>
      </c>
      <c r="N22" s="28">
        <f t="shared" ca="1" si="6"/>
        <v>1071107.7030567238</v>
      </c>
      <c r="O22" s="28">
        <f t="shared" ca="1" si="6"/>
        <v>1205972.2984790099</v>
      </c>
      <c r="P22" s="28">
        <f t="shared" ca="1" si="6"/>
        <v>1357817.8744754349</v>
      </c>
      <c r="Q22" s="28">
        <f t="shared" ca="1" si="6"/>
        <v>1528782.5288941138</v>
      </c>
      <c r="R22" s="28">
        <f t="shared" ca="1" si="6"/>
        <v>1721273.5703268026</v>
      </c>
      <c r="S22" s="28">
        <f t="shared" ca="1" si="6"/>
        <v>1938001.414791669</v>
      </c>
      <c r="T22" s="28">
        <f t="shared" ca="1" si="6"/>
        <v>2182017.7503924733</v>
      </c>
      <c r="U22" s="28">
        <f t="shared" ca="1" si="6"/>
        <v>2456758.5073407437</v>
      </c>
      <c r="V22" s="28">
        <f t="shared" ca="1" si="6"/>
        <v>2766092.2383905915</v>
      </c>
      <c r="W22" s="28">
        <f t="shared" ca="1" si="6"/>
        <v>3114374.590918418</v>
      </c>
      <c r="X22" s="24" t="s">
        <v>59</v>
      </c>
      <c r="Y22" s="28">
        <f t="shared" si="7"/>
        <v>666524.91</v>
      </c>
      <c r="Z22" s="42">
        <f t="shared" ca="1" si="8"/>
        <v>1934219.847706598</v>
      </c>
      <c r="AA22" s="42">
        <f t="shared" ca="1" si="9"/>
        <v>3114374.590918418</v>
      </c>
      <c r="AB22" s="42">
        <f t="shared" ca="1" si="10"/>
        <v>1376990.7950464168</v>
      </c>
      <c r="AC22" s="42">
        <f t="shared" ca="1" si="11"/>
        <v>1721273.5703268026</v>
      </c>
      <c r="AD22" s="90"/>
      <c r="AE22" s="91"/>
      <c r="AF22" s="91"/>
      <c r="AG22" s="91"/>
      <c r="AH22" s="91"/>
      <c r="AI22" s="91"/>
      <c r="AJ22" s="91"/>
      <c r="AK22" s="90"/>
      <c r="AL22" s="90"/>
      <c r="AM22" s="90"/>
      <c r="AN22" s="90"/>
      <c r="AP22" s="121"/>
      <c r="AQ22" s="121"/>
      <c r="AR22" s="121"/>
      <c r="AS22" s="121"/>
      <c r="AT22" s="121"/>
      <c r="AU22" s="121"/>
      <c r="AV22" s="121"/>
      <c r="AW22" s="121"/>
      <c r="AX22" s="121"/>
      <c r="AY22" s="121"/>
    </row>
    <row r="23" spans="1:51" x14ac:dyDescent="0.25">
      <c r="A23" s="24" t="s">
        <v>61</v>
      </c>
      <c r="B23" s="24" t="s">
        <v>43</v>
      </c>
      <c r="C23" s="30">
        <f>IF(VLOOKUP(A23,'Input - Effective RE Level'!$A$2:$B$52,2,FALSE)=0,"",VLOOKUP(A23,'Input - Effective RE Level'!$A$2:$B$52,2,FALSE))</f>
        <v>0.19</v>
      </c>
      <c r="D23" s="24" t="s">
        <v>121</v>
      </c>
      <c r="E23" s="60">
        <f t="shared" si="13"/>
        <v>0.15821500000000002</v>
      </c>
      <c r="F23" s="28">
        <f>E23*VLOOKUP(B23,'Input- EIA 2012 Generation Data'!$A$2:$H$52,8,FALSE)</f>
        <v>1365979.8962100002</v>
      </c>
      <c r="G23" s="28">
        <f>(SUMIF('Input- EIA 2012 Generation Data'!$B$2:$B$52,'Calc Method Using MWh'!D23,'Input- EIA 2012 Generation Data'!$H$2:$H$52)*AVERAGEIF($D$16:$D$66,D23,$E$16:$E$66))</f>
        <v>96368237.239952162</v>
      </c>
      <c r="H23" s="28">
        <f ca="1">SUMIF('Input- EIA 2012 Generation Data'!$B$2:$G$52,'Calc Method Using MWh'!D23,'Input- EIA 2012 Generation Data'!$D$2:$D$52)</f>
        <v>12162663.629999999</v>
      </c>
      <c r="I23" s="57">
        <f t="shared" ca="1" si="12"/>
        <v>0.17259099671408151</v>
      </c>
      <c r="J23" s="42">
        <f>VLOOKUP(B23,'Input- EIA 2012 Generation Data'!$A$2:$G$52,4,FALSE)</f>
        <v>131050.62</v>
      </c>
      <c r="K23" s="28">
        <f t="shared" ca="1" si="6"/>
        <v>153668.77712579834</v>
      </c>
      <c r="L23" s="28">
        <f t="shared" ca="1" si="6"/>
        <v>180190.62453377392</v>
      </c>
      <c r="M23" s="28">
        <f t="shared" ca="1" si="6"/>
        <v>211289.90402059079</v>
      </c>
      <c r="N23" s="28">
        <f t="shared" ca="1" si="6"/>
        <v>247756.63915112716</v>
      </c>
      <c r="O23" s="28">
        <f t="shared" ca="1" si="6"/>
        <v>290517.20444475126</v>
      </c>
      <c r="P23" s="28">
        <f t="shared" ca="1" si="6"/>
        <v>340657.85832245945</v>
      </c>
      <c r="Q23" s="28">
        <f t="shared" ca="1" si="6"/>
        <v>399452.33762881707</v>
      </c>
      <c r="R23" s="28">
        <f t="shared" ca="1" si="6"/>
        <v>468394.2147199444</v>
      </c>
      <c r="S23" s="28">
        <f t="shared" ca="1" si="6"/>
        <v>549234.83909356908</v>
      </c>
      <c r="T23" s="28">
        <f t="shared" ca="1" si="6"/>
        <v>644027.8274028264</v>
      </c>
      <c r="U23" s="28">
        <f t="shared" ca="1" si="6"/>
        <v>755181.23204588471</v>
      </c>
      <c r="V23" s="28">
        <f t="shared" ca="1" si="6"/>
        <v>885518.71358445205</v>
      </c>
      <c r="W23" s="28">
        <f t="shared" ca="1" si="6"/>
        <v>1038351.2709709639</v>
      </c>
      <c r="X23" s="24" t="s">
        <v>61</v>
      </c>
      <c r="Y23" s="28">
        <f t="shared" si="7"/>
        <v>131050.62</v>
      </c>
      <c r="Z23" s="42">
        <f t="shared" ca="1" si="8"/>
        <v>561909.21373647952</v>
      </c>
      <c r="AA23" s="42">
        <f t="shared" ca="1" si="9"/>
        <v>1038351.2709709639</v>
      </c>
      <c r="AB23" s="42">
        <f t="shared" ca="1" si="10"/>
        <v>349355.65085341991</v>
      </c>
      <c r="AC23" s="42">
        <f t="shared" ca="1" si="11"/>
        <v>468394.2147199444</v>
      </c>
      <c r="AD23" s="90"/>
      <c r="AE23" s="91"/>
      <c r="AF23" s="91"/>
      <c r="AG23" s="91"/>
      <c r="AH23" s="91"/>
      <c r="AI23" s="91"/>
      <c r="AJ23" s="91"/>
      <c r="AK23" s="90"/>
      <c r="AL23" s="90"/>
      <c r="AM23" s="90"/>
      <c r="AN23" s="90"/>
      <c r="AP23" s="121"/>
      <c r="AQ23" s="121"/>
      <c r="AR23" s="121"/>
      <c r="AS23" s="121"/>
      <c r="AT23" s="121"/>
      <c r="AU23" s="121"/>
      <c r="AV23" s="121"/>
      <c r="AW23" s="121"/>
      <c r="AX23" s="121"/>
      <c r="AY23" s="121"/>
    </row>
    <row r="24" spans="1:51" x14ac:dyDescent="0.25">
      <c r="A24" s="24" t="s">
        <v>60</v>
      </c>
      <c r="B24" s="24" t="s">
        <v>44</v>
      </c>
      <c r="C24" s="30">
        <f>IF(VLOOKUP(A24,'Input - Effective RE Level'!$A$2:$B$52,2,FALSE)=0,"",VLOOKUP(A24,'Input - Effective RE Level'!$A$2:$B$52,2,FALSE))</f>
        <v>0.2</v>
      </c>
      <c r="D24" s="24" t="s">
        <v>121</v>
      </c>
      <c r="E24" s="60">
        <f t="shared" si="13"/>
        <v>0.15821500000000002</v>
      </c>
      <c r="F24" s="28">
        <f>E24*VLOOKUP(B24,'Input- EIA 2012 Generation Data'!$A$2:$H$52,8,FALSE)</f>
        <v>11357.745397700002</v>
      </c>
      <c r="G24" s="28">
        <f>(SUMIF('Input- EIA 2012 Generation Data'!$B$2:$B$52,'Calc Method Using MWh'!D24,'Input- EIA 2012 Generation Data'!$H$2:$H$52)*AVERAGEIF($D$16:$D$66,D24,$E$16:$E$66))</f>
        <v>96368237.239952162</v>
      </c>
      <c r="H24" s="28">
        <f ca="1">SUMIF('Input- EIA 2012 Generation Data'!$B$2:$G$52,'Calc Method Using MWh'!D24,'Input- EIA 2012 Generation Data'!$D$2:$D$52)</f>
        <v>12162663.629999999</v>
      </c>
      <c r="I24" s="57">
        <f t="shared" ca="1" si="12"/>
        <v>0.17259099671408151</v>
      </c>
      <c r="J24" s="28">
        <v>0</v>
      </c>
      <c r="K24" s="28">
        <f t="shared" ca="1" si="6"/>
        <v>0</v>
      </c>
      <c r="L24" s="28">
        <f t="shared" ca="1" si="6"/>
        <v>0</v>
      </c>
      <c r="M24" s="28">
        <f t="shared" ca="1" si="6"/>
        <v>0</v>
      </c>
      <c r="N24" s="28">
        <f t="shared" ca="1" si="6"/>
        <v>0</v>
      </c>
      <c r="O24" s="28">
        <f t="shared" ca="1" si="6"/>
        <v>0</v>
      </c>
      <c r="P24" s="28">
        <f t="shared" ca="1" si="6"/>
        <v>0</v>
      </c>
      <c r="Q24" s="28">
        <f t="shared" ca="1" si="6"/>
        <v>0</v>
      </c>
      <c r="R24" s="28">
        <f t="shared" ca="1" si="6"/>
        <v>0</v>
      </c>
      <c r="S24" s="28">
        <f t="shared" ca="1" si="6"/>
        <v>0</v>
      </c>
      <c r="T24" s="28">
        <f t="shared" ca="1" si="6"/>
        <v>0</v>
      </c>
      <c r="U24" s="28">
        <f t="shared" ca="1" si="6"/>
        <v>0</v>
      </c>
      <c r="V24" s="28">
        <f t="shared" ca="1" si="6"/>
        <v>0</v>
      </c>
      <c r="W24" s="28">
        <f t="shared" ca="1" si="6"/>
        <v>0</v>
      </c>
      <c r="X24" s="24" t="s">
        <v>60</v>
      </c>
      <c r="Y24" s="28">
        <f t="shared" si="7"/>
        <v>0</v>
      </c>
      <c r="Z24" s="42">
        <f ca="1">K24</f>
        <v>0</v>
      </c>
      <c r="AA24" s="42">
        <f ca="1">L24</f>
        <v>0</v>
      </c>
      <c r="AB24" s="42">
        <f ca="1">M24</f>
        <v>0</v>
      </c>
      <c r="AC24" s="42">
        <f ca="1">N24</f>
        <v>0</v>
      </c>
      <c r="AD24" s="90"/>
      <c r="AE24" s="91"/>
      <c r="AF24" s="91"/>
      <c r="AG24" s="91"/>
      <c r="AH24" s="91"/>
      <c r="AI24" s="91"/>
      <c r="AJ24" s="91"/>
      <c r="AK24" s="90"/>
      <c r="AL24" s="90"/>
      <c r="AM24" s="90"/>
      <c r="AN24" s="90"/>
      <c r="AP24" s="121"/>
      <c r="AQ24" s="121"/>
      <c r="AR24" s="121"/>
      <c r="AS24" s="121"/>
      <c r="AT24" s="121"/>
      <c r="AU24" s="121"/>
      <c r="AV24" s="121"/>
      <c r="AW24" s="121"/>
      <c r="AX24" s="121"/>
      <c r="AY24" s="121"/>
    </row>
    <row r="25" spans="1:51" x14ac:dyDescent="0.25">
      <c r="A25" s="24" t="s">
        <v>62</v>
      </c>
      <c r="B25" s="24" t="s">
        <v>42</v>
      </c>
      <c r="C25" s="30" t="str">
        <f>IF(VLOOKUP(A25,'Input - Effective RE Level'!$A$2:$B$52,2,FALSE)=0,"",VLOOKUP(A25,'Input - Effective RE Level'!$A$2:$B$52,2,FALSE))</f>
        <v/>
      </c>
      <c r="D25" s="24" t="s">
        <v>117</v>
      </c>
      <c r="E25" s="60">
        <f t="shared" si="13"/>
        <v>0.1</v>
      </c>
      <c r="F25" s="28">
        <f>E25*VLOOKUP(B25,'Input- EIA 2012 Generation Data'!$A$2:$H$52,8,FALSE)</f>
        <v>22109613.598999999</v>
      </c>
      <c r="G25" s="28">
        <f>(SUMIF('Input- EIA 2012 Generation Data'!$B$2:$B$52,'Calc Method Using MWh'!D25,'Input- EIA 2012 Generation Data'!$H$2:$H$52)*AVERAGEIF($D$16:$D$66,D25,$E$16:$E$66))</f>
        <v>93197688.003999993</v>
      </c>
      <c r="H25" s="28">
        <f ca="1">SUMIF('Input- EIA 2012 Generation Data'!$B$2:$G$52,'Calc Method Using MWh'!D25,'Input- EIA 2012 Generation Data'!$D$2:$D$52)</f>
        <v>18104807.379999999</v>
      </c>
      <c r="I25" s="57">
        <f t="shared" ca="1" si="12"/>
        <v>0.13432975769258282</v>
      </c>
      <c r="J25" s="42">
        <f>VLOOKUP(B25,'Input- EIA 2012 Generation Data'!$A$2:$G$52,4,FALSE)</f>
        <v>4523797.99</v>
      </c>
      <c r="K25" s="28">
        <f t="shared" ca="1" si="6"/>
        <v>5131478.6778468937</v>
      </c>
      <c r="L25" s="28">
        <f t="shared" ca="1" si="6"/>
        <v>5820788.9652467221</v>
      </c>
      <c r="M25" s="28">
        <f t="shared" ca="1" si="6"/>
        <v>6602694.1365279742</v>
      </c>
      <c r="N25" s="28">
        <f t="shared" ca="1" si="6"/>
        <v>7489632.440006014</v>
      </c>
      <c r="O25" s="28">
        <f t="shared" ca="1" si="6"/>
        <v>8495712.9508785289</v>
      </c>
      <c r="P25" s="28">
        <f t="shared" ca="1" si="6"/>
        <v>9636940.0129957795</v>
      </c>
      <c r="Q25" s="28">
        <f t="shared" ca="1" si="6"/>
        <v>10931467.829839459</v>
      </c>
      <c r="R25" s="28">
        <f t="shared" ca="1" si="6"/>
        <v>12399889.254646057</v>
      </c>
      <c r="S25" s="28">
        <f t="shared" ca="1" si="6"/>
        <v>14065563.373637524</v>
      </c>
      <c r="T25" s="28">
        <f t="shared" ca="1" si="6"/>
        <v>15954987.093427919</v>
      </c>
      <c r="U25" s="28">
        <f t="shared" ca="1" si="6"/>
        <v>18098216.643676378</v>
      </c>
      <c r="V25" s="28">
        <f t="shared" ca="1" si="6"/>
        <v>20529345.700089294</v>
      </c>
      <c r="W25" s="28">
        <f t="shared" ca="1" si="6"/>
        <v>22109613.598999999</v>
      </c>
      <c r="X25" s="24" t="s">
        <v>62</v>
      </c>
      <c r="Y25" s="28">
        <f t="shared" si="7"/>
        <v>4523797.99</v>
      </c>
      <c r="Z25" s="42">
        <f t="shared" ca="1" si="8"/>
        <v>13971136.889819693</v>
      </c>
      <c r="AA25" s="42">
        <f t="shared" ca="1" si="9"/>
        <v>22109613.598999999</v>
      </c>
      <c r="AB25" s="42">
        <f t="shared" ca="1" si="10"/>
        <v>9790728.4976731669</v>
      </c>
      <c r="AC25" s="42">
        <f t="shared" ca="1" si="11"/>
        <v>12399889.254646057</v>
      </c>
      <c r="AD25" s="90"/>
      <c r="AE25" s="91"/>
      <c r="AF25" s="91"/>
      <c r="AG25" s="91"/>
      <c r="AH25" s="91"/>
      <c r="AI25" s="91"/>
      <c r="AJ25" s="91"/>
      <c r="AK25" s="90"/>
      <c r="AL25" s="90"/>
      <c r="AM25" s="90"/>
      <c r="AN25" s="90"/>
      <c r="AP25" s="121"/>
      <c r="AQ25" s="121"/>
      <c r="AR25" s="121"/>
      <c r="AS25" s="121"/>
      <c r="AT25" s="121"/>
      <c r="AU25" s="121"/>
      <c r="AV25" s="121"/>
      <c r="AW25" s="121"/>
      <c r="AX25" s="121"/>
      <c r="AY25" s="121"/>
    </row>
    <row r="26" spans="1:51" x14ac:dyDescent="0.25">
      <c r="A26" s="24" t="s">
        <v>63</v>
      </c>
      <c r="B26" s="24" t="s">
        <v>41</v>
      </c>
      <c r="C26" s="30" t="str">
        <f>IF(VLOOKUP(A26,'Input - Effective RE Level'!$A$2:$B$52,2,FALSE)=0,"",VLOOKUP(A26,'Input - Effective RE Level'!$A$2:$B$52,2,FALSE))</f>
        <v/>
      </c>
      <c r="D26" s="24" t="s">
        <v>117</v>
      </c>
      <c r="E26" s="60">
        <f t="shared" si="13"/>
        <v>0.1</v>
      </c>
      <c r="F26" s="28">
        <f>E26*VLOOKUP(B26,'Input- EIA 2012 Generation Data'!$A$2:$H$52,8,FALSE)</f>
        <v>12230636.385</v>
      </c>
      <c r="G26" s="28">
        <f>(SUMIF('Input- EIA 2012 Generation Data'!$B$2:$B$52,'Calc Method Using MWh'!D26,'Input- EIA 2012 Generation Data'!$H$2:$H$52)*AVERAGEIF($D$16:$D$66,D26,$E$16:$E$66))</f>
        <v>93197688.003999993</v>
      </c>
      <c r="H26" s="28">
        <f ca="1">SUMIF('Input- EIA 2012 Generation Data'!$B$2:$G$52,'Calc Method Using MWh'!D26,'Input- EIA 2012 Generation Data'!$D$2:$D$52)</f>
        <v>18104807.379999999</v>
      </c>
      <c r="I26" s="57">
        <f t="shared" ca="1" si="12"/>
        <v>0.13432975769258282</v>
      </c>
      <c r="J26" s="42">
        <f>VLOOKUP(B26,'Input- EIA 2012 Generation Data'!$A$2:$G$52,4,FALSE)</f>
        <v>3278536.21</v>
      </c>
      <c r="K26" s="28">
        <f t="shared" ca="1" si="6"/>
        <v>3718941.1846756586</v>
      </c>
      <c r="L26" s="28">
        <f t="shared" ca="1" si="6"/>
        <v>4218505.6528861066</v>
      </c>
      <c r="M26" s="28">
        <f t="shared" ca="1" si="6"/>
        <v>4785176.4950630879</v>
      </c>
      <c r="N26" s="28">
        <f t="shared" ca="1" si="6"/>
        <v>5427968.0941611556</v>
      </c>
      <c r="O26" s="28">
        <f t="shared" ca="1" si="6"/>
        <v>6157105.7330128942</v>
      </c>
      <c r="P26" s="28">
        <f t="shared" ca="1" si="6"/>
        <v>6984188.254216129</v>
      </c>
      <c r="Q26" s="28">
        <f t="shared" ca="1" si="6"/>
        <v>7922372.5700843642</v>
      </c>
      <c r="R26" s="28">
        <f t="shared" ca="1" si="6"/>
        <v>8986582.9577741623</v>
      </c>
      <c r="S26" s="28">
        <f t="shared" ca="1" si="6"/>
        <v>10193748.468976259</v>
      </c>
      <c r="T26" s="28">
        <f t="shared" ca="1" si="6"/>
        <v>11563072.230792977</v>
      </c>
      <c r="U26" s="28">
        <f t="shared" ca="1" si="6"/>
        <v>12230636.385</v>
      </c>
      <c r="V26" s="28">
        <f t="shared" ca="1" si="6"/>
        <v>12230636.385</v>
      </c>
      <c r="W26" s="28">
        <f t="shared" ca="1" si="6"/>
        <v>12230636.385</v>
      </c>
      <c r="X26" s="24" t="s">
        <v>63</v>
      </c>
      <c r="Y26" s="28">
        <f t="shared" si="7"/>
        <v>3278536.21</v>
      </c>
      <c r="Z26" s="42">
        <f t="shared" ca="1" si="8"/>
        <v>9392694.7464017961</v>
      </c>
      <c r="AA26" s="42">
        <f t="shared" ca="1" si="9"/>
        <v>12230636.385</v>
      </c>
      <c r="AB26" s="42">
        <f t="shared" ca="1" si="10"/>
        <v>7095643.5218497412</v>
      </c>
      <c r="AC26" s="42">
        <f t="shared" ca="1" si="11"/>
        <v>8986582.9577741623</v>
      </c>
      <c r="AD26" s="90"/>
      <c r="AE26" s="91"/>
      <c r="AF26" s="91"/>
      <c r="AG26" s="91"/>
      <c r="AH26" s="91"/>
      <c r="AI26" s="91"/>
      <c r="AJ26" s="91"/>
      <c r="AK26" s="90"/>
      <c r="AL26" s="90"/>
      <c r="AM26" s="90"/>
      <c r="AN26" s="90"/>
      <c r="AP26" s="121"/>
      <c r="AQ26" s="121"/>
      <c r="AR26" s="121"/>
      <c r="AS26" s="121"/>
      <c r="AT26" s="121"/>
      <c r="AU26" s="121"/>
      <c r="AV26" s="121"/>
      <c r="AW26" s="121"/>
      <c r="AX26" s="121"/>
      <c r="AY26" s="121"/>
    </row>
    <row r="27" spans="1:51" x14ac:dyDescent="0.25">
      <c r="A27" s="24" t="s">
        <v>64</v>
      </c>
      <c r="B27" s="24" t="s">
        <v>40</v>
      </c>
      <c r="C27" s="30">
        <f>IF(VLOOKUP(A27,'Input - Effective RE Level'!$A$2:$B$52,2,FALSE)=0,"",VLOOKUP(A27,'Input - Effective RE Level'!$A$2:$B$52,2,FALSE))</f>
        <v>0.25</v>
      </c>
      <c r="D27" s="24" t="s">
        <v>64</v>
      </c>
      <c r="E27" s="60">
        <f>MIN(E5,E8:E11)</f>
        <v>9.9999999999999992E-2</v>
      </c>
      <c r="F27" s="28">
        <f>E27*VLOOKUP(B27,'Input- EIA 2012 Generation Data'!$A$2:$H$52,8,FALSE)</f>
        <v>1046926.8679999999</v>
      </c>
      <c r="G27" s="28">
        <f>(SUMIF('Input- EIA 2012 Generation Data'!$B$2:$B$52,'Calc Method Using MWh'!D27,'Input- EIA 2012 Generation Data'!$H$2:$H$52)*AVERAGEIF($D$16:$D$66,D27,$E$16:$E$66))</f>
        <v>1046926.8679999999</v>
      </c>
      <c r="H27" s="28">
        <f ca="1">SUMIF('Input- EIA 2012 Generation Data'!$B$2:$G$52,'Calc Method Using MWh'!D27,'Input- EIA 2012 Generation Data'!$D$2:$D$52)</f>
        <v>924815.1</v>
      </c>
      <c r="I27" s="79">
        <f>'Input- EIA 2012 Generation Data'!B72</f>
        <v>8.6602341648453374E-2</v>
      </c>
      <c r="J27" s="42">
        <f>VLOOKUP(B27,'Input- EIA 2012 Generation Data'!$A$2:$G$52,4,FALSE)</f>
        <v>924815.1</v>
      </c>
      <c r="K27" s="28">
        <f t="shared" si="6"/>
        <v>1004906.2532518485</v>
      </c>
      <c r="L27" s="28">
        <f t="shared" si="6"/>
        <v>1046926.8679999999</v>
      </c>
      <c r="M27" s="28">
        <f t="shared" si="6"/>
        <v>1046926.8679999999</v>
      </c>
      <c r="N27" s="28">
        <f t="shared" si="6"/>
        <v>1046926.8679999999</v>
      </c>
      <c r="O27" s="28">
        <f t="shared" si="6"/>
        <v>1046926.8679999999</v>
      </c>
      <c r="P27" s="28">
        <f t="shared" si="6"/>
        <v>1046926.8679999999</v>
      </c>
      <c r="Q27" s="28">
        <f t="shared" si="6"/>
        <v>1046926.8679999999</v>
      </c>
      <c r="R27" s="28">
        <f t="shared" si="6"/>
        <v>1046926.8679999999</v>
      </c>
      <c r="S27" s="28">
        <f t="shared" si="6"/>
        <v>1046926.8679999999</v>
      </c>
      <c r="T27" s="28">
        <f t="shared" si="6"/>
        <v>1046926.8679999999</v>
      </c>
      <c r="U27" s="28">
        <f t="shared" si="6"/>
        <v>1046926.8679999999</v>
      </c>
      <c r="V27" s="28">
        <f t="shared" si="6"/>
        <v>1046926.8679999999</v>
      </c>
      <c r="W27" s="28">
        <f t="shared" si="6"/>
        <v>1046926.8679999999</v>
      </c>
      <c r="X27" s="24" t="s">
        <v>64</v>
      </c>
      <c r="Y27" s="28">
        <f t="shared" si="7"/>
        <v>924815.1</v>
      </c>
      <c r="Z27" s="42">
        <f t="shared" si="8"/>
        <v>1046926.868</v>
      </c>
      <c r="AA27" s="42">
        <f t="shared" si="9"/>
        <v>1046926.8679999999</v>
      </c>
      <c r="AB27" s="42">
        <f t="shared" si="10"/>
        <v>1046926.868</v>
      </c>
      <c r="AC27" s="42">
        <f t="shared" si="11"/>
        <v>1046926.8679999999</v>
      </c>
      <c r="AD27" s="90"/>
      <c r="AE27" s="91"/>
      <c r="AF27" s="91"/>
      <c r="AG27" s="91"/>
      <c r="AH27" s="91"/>
      <c r="AI27" s="91"/>
      <c r="AJ27" s="91"/>
      <c r="AK27" s="90"/>
      <c r="AL27" s="90"/>
      <c r="AM27" s="90"/>
      <c r="AN27" s="90"/>
      <c r="AP27" s="121"/>
      <c r="AQ27" s="121"/>
      <c r="AR27" s="121"/>
      <c r="AS27" s="121"/>
      <c r="AT27" s="121"/>
      <c r="AU27" s="121"/>
      <c r="AV27" s="121"/>
      <c r="AW27" s="121"/>
      <c r="AX27" s="121"/>
      <c r="AY27" s="121"/>
    </row>
    <row r="28" spans="1:51" x14ac:dyDescent="0.25">
      <c r="A28" s="24" t="s">
        <v>66</v>
      </c>
      <c r="B28" s="24" t="s">
        <v>38</v>
      </c>
      <c r="C28" s="30" t="str">
        <f>IF(VLOOKUP(A28,'Input - Effective RE Level'!$A$2:$B$52,2,FALSE)=0,"",VLOOKUP(A28,'Input - Effective RE Level'!$A$2:$B$52,2,FALSE))</f>
        <v/>
      </c>
      <c r="D28" s="24" t="s">
        <v>118</v>
      </c>
      <c r="E28" s="60">
        <f>AVERAGEIF($D$16:$D$66,D28,$C$16:$C$66)</f>
        <v>0.20624999999999999</v>
      </c>
      <c r="F28" s="28">
        <f>E28*VLOOKUP(B28,'Input- EIA 2012 Generation Data'!$A$2:$H$52,8,FALSE)</f>
        <v>3196687.1701874998</v>
      </c>
      <c r="G28" s="28">
        <f>(SUMIF('Input- EIA 2012 Generation Data'!$B$2:$B$52,'Calc Method Using MWh'!D28,'Input- EIA 2012 Generation Data'!$H$2:$H$52)*AVERAGEIF($D$16:$D$66,D28,$E$16:$E$66))</f>
        <v>146877467.42893127</v>
      </c>
      <c r="H28" s="28">
        <f ca="1">SUMIF('Input- EIA 2012 Generation Data'!$B$2:$G$52,'Calc Method Using MWh'!D28,'Input- EIA 2012 Generation Data'!$D$2:$D$52)</f>
        <v>68065726.450000003</v>
      </c>
      <c r="I28" s="57">
        <f t="shared" ref="I28:I66" ca="1" si="14">(G28/H28)^(1/13)-1</f>
        <v>6.094864111130982E-2</v>
      </c>
      <c r="J28" s="42">
        <f>VLOOKUP(B28,'Input- EIA 2012 Generation Data'!$A$2:$G$52,4,FALSE)</f>
        <v>2514502.1700000004</v>
      </c>
      <c r="K28" s="28">
        <f t="shared" ca="1" si="6"/>
        <v>2667757.6603329401</v>
      </c>
      <c r="L28" s="28">
        <f t="shared" ca="1" si="6"/>
        <v>2830353.8645445202</v>
      </c>
      <c r="M28" s="28">
        <f t="shared" ca="1" si="6"/>
        <v>3002860.0864526527</v>
      </c>
      <c r="N28" s="28">
        <f t="shared" ca="1" si="6"/>
        <v>3185880.3281693324</v>
      </c>
      <c r="O28" s="28">
        <f t="shared" ca="1" si="6"/>
        <v>3196687.1701874998</v>
      </c>
      <c r="P28" s="28">
        <f t="shared" ca="1" si="6"/>
        <v>3196687.1701874998</v>
      </c>
      <c r="Q28" s="28">
        <f t="shared" ca="1" si="6"/>
        <v>3196687.1701874998</v>
      </c>
      <c r="R28" s="28">
        <f t="shared" ca="1" si="6"/>
        <v>3196687.1701874998</v>
      </c>
      <c r="S28" s="28">
        <f t="shared" ca="1" si="6"/>
        <v>3196687.1701874998</v>
      </c>
      <c r="T28" s="28">
        <f t="shared" ca="1" si="6"/>
        <v>3196687.1701874998</v>
      </c>
      <c r="U28" s="28">
        <f t="shared" ca="1" si="6"/>
        <v>3196687.1701874998</v>
      </c>
      <c r="V28" s="28">
        <f t="shared" ca="1" si="6"/>
        <v>3196687.1701874998</v>
      </c>
      <c r="W28" s="28">
        <f t="shared" ca="1" si="6"/>
        <v>3196687.1701874998</v>
      </c>
      <c r="X28" s="24" t="s">
        <v>66</v>
      </c>
      <c r="Y28" s="28">
        <f t="shared" si="7"/>
        <v>2514502.1700000004</v>
      </c>
      <c r="Z28" s="42">
        <f t="shared" ca="1" si="8"/>
        <v>3195606.4859856828</v>
      </c>
      <c r="AA28" s="42">
        <f t="shared" ca="1" si="9"/>
        <v>3196687.1701874998</v>
      </c>
      <c r="AB28" s="42">
        <f t="shared" ca="1" si="10"/>
        <v>3194525.8017838662</v>
      </c>
      <c r="AC28" s="42">
        <f t="shared" ca="1" si="11"/>
        <v>3196687.1701874998</v>
      </c>
      <c r="AD28" s="90"/>
      <c r="AE28" s="91"/>
      <c r="AF28" s="91"/>
      <c r="AG28" s="91"/>
      <c r="AH28" s="91"/>
      <c r="AI28" s="91"/>
      <c r="AJ28" s="91"/>
      <c r="AK28" s="90"/>
      <c r="AL28" s="90"/>
      <c r="AM28" s="90"/>
      <c r="AN28" s="90"/>
      <c r="AP28" s="121"/>
      <c r="AQ28" s="121"/>
      <c r="AR28" s="121"/>
      <c r="AS28" s="121"/>
      <c r="AT28" s="121"/>
      <c r="AU28" s="121"/>
      <c r="AV28" s="121"/>
      <c r="AW28" s="121"/>
      <c r="AX28" s="121"/>
      <c r="AY28" s="121"/>
    </row>
    <row r="29" spans="1:51" x14ac:dyDescent="0.25">
      <c r="A29" s="24" t="s">
        <v>67</v>
      </c>
      <c r="B29" s="24" t="s">
        <v>37</v>
      </c>
      <c r="C29" s="30">
        <f>IF(VLOOKUP(A29,'Input - Effective RE Level'!$A$2:$B$52,2,FALSE)=0,"",VLOOKUP(A29,'Input - Effective RE Level'!$A$2:$B$52,2,FALSE))</f>
        <v>0.16</v>
      </c>
      <c r="D29" s="24" t="s">
        <v>122</v>
      </c>
      <c r="E29" s="60">
        <f t="shared" ref="E29:E66" si="15">AVERAGEIF($D$16:$D$66,D29,$C$16:$C$66)</f>
        <v>0.15114</v>
      </c>
      <c r="F29" s="28">
        <f>E29*VLOOKUP(B29,'Input- EIA 2012 Generation Data'!$A$2:$H$52,8,FALSE)</f>
        <v>29860028.913943797</v>
      </c>
      <c r="G29" s="28">
        <f>(SUMIF('Input- EIA 2012 Generation Data'!$B$2:$B$52,'Calc Method Using MWh'!D29,'Input- EIA 2012 Generation Data'!$H$2:$H$52)*AVERAGEIF($D$16:$D$66,D29,$E$16:$E$66))</f>
        <v>110786042.14611122</v>
      </c>
      <c r="H29" s="28">
        <f ca="1">SUMIF('Input- EIA 2012 Generation Data'!$B$2:$G$52,'Calc Method Using MWh'!D29,'Input- EIA 2012 Generation Data'!$D$2:$D$52)</f>
        <v>52058235.869999997</v>
      </c>
      <c r="I29" s="57">
        <f ca="1">(G29/H29)^(1/13)-1</f>
        <v>5.9815900091390484E-2</v>
      </c>
      <c r="J29" s="42">
        <f>VLOOKUP(B29,'Input- EIA 2012 Generation Data'!$A$2:$G$52,4,FALSE)</f>
        <v>8372659.9000000004</v>
      </c>
      <c r="K29" s="28">
        <f t="shared" ca="1" si="6"/>
        <v>8873478.0880775917</v>
      </c>
      <c r="L29" s="28">
        <f t="shared" ca="1" si="6"/>
        <v>9404253.166857183</v>
      </c>
      <c r="M29" s="28">
        <f t="shared" ca="1" si="6"/>
        <v>9966777.0347200539</v>
      </c>
      <c r="N29" s="28">
        <f t="shared" ca="1" si="6"/>
        <v>10562948.774062034</v>
      </c>
      <c r="O29" s="28">
        <f t="shared" ca="1" si="6"/>
        <v>11194781.062601805</v>
      </c>
      <c r="P29" s="28">
        <f t="shared" ca="1" si="6"/>
        <v>11864406.968187384</v>
      </c>
      <c r="Q29" s="28">
        <f t="shared" ca="1" si="6"/>
        <v>12574087.150040077</v>
      </c>
      <c r="R29" s="28">
        <f t="shared" ca="1" si="6"/>
        <v>13326217.490747312</v>
      </c>
      <c r="S29" s="28">
        <f t="shared" ca="1" si="6"/>
        <v>14123337.184769994</v>
      </c>
      <c r="T29" s="28">
        <f t="shared" ca="1" si="6"/>
        <v>14968137.310771216</v>
      </c>
      <c r="U29" s="28">
        <f t="shared" ca="1" si="6"/>
        <v>15863469.916706521</v>
      </c>
      <c r="V29" s="28">
        <f t="shared" ca="1" si="6"/>
        <v>16812357.648347016</v>
      </c>
      <c r="W29" s="28">
        <f t="shared" ca="1" si="6"/>
        <v>17818003.953741267</v>
      </c>
      <c r="X29" s="24" t="s">
        <v>67</v>
      </c>
      <c r="Y29" s="28">
        <f t="shared" si="7"/>
        <v>8372659.9000000004</v>
      </c>
      <c r="Z29" s="42">
        <f t="shared" ca="1" si="8"/>
        <v>13910774.745997462</v>
      </c>
      <c r="AA29" s="42">
        <f t="shared" ca="1" si="9"/>
        <v>17818003.953741267</v>
      </c>
      <c r="AB29" s="42">
        <f t="shared" ca="1" si="10"/>
        <v>11904488.289127721</v>
      </c>
      <c r="AC29" s="42">
        <f t="shared" ca="1" si="11"/>
        <v>13326217.490747312</v>
      </c>
      <c r="AD29" s="90"/>
      <c r="AE29" s="91"/>
      <c r="AF29" s="91"/>
      <c r="AG29" s="91"/>
      <c r="AH29" s="91"/>
      <c r="AI29" s="91"/>
      <c r="AJ29" s="91"/>
      <c r="AK29" s="90"/>
      <c r="AL29" s="90"/>
      <c r="AM29" s="90"/>
      <c r="AN29" s="90"/>
      <c r="AP29" s="121"/>
      <c r="AQ29" s="121"/>
      <c r="AR29" s="121"/>
      <c r="AS29" s="121"/>
      <c r="AT29" s="121"/>
      <c r="AU29" s="121"/>
      <c r="AV29" s="121"/>
      <c r="AW29" s="121"/>
      <c r="AX29" s="121"/>
      <c r="AY29" s="121"/>
    </row>
    <row r="30" spans="1:51" x14ac:dyDescent="0.25">
      <c r="A30" s="24" t="s">
        <v>68</v>
      </c>
      <c r="B30" s="24" t="s">
        <v>36</v>
      </c>
      <c r="C30" s="30" t="str">
        <f>IF(VLOOKUP(A30,'Input - Effective RE Level'!$A$2:$B$52,2,FALSE)=0,"",VLOOKUP(A30,'Input - Effective RE Level'!$A$2:$B$52,2,FALSE))</f>
        <v/>
      </c>
      <c r="D30" s="24" t="s">
        <v>122</v>
      </c>
      <c r="E30" s="60">
        <f t="shared" si="15"/>
        <v>0.15114</v>
      </c>
      <c r="F30" s="28">
        <f>E30*VLOOKUP(B30,'Input- EIA 2012 Generation Data'!$A$2:$H$52,8,FALSE)</f>
        <v>17335112.523379199</v>
      </c>
      <c r="G30" s="28">
        <f>(SUMIF('Input- EIA 2012 Generation Data'!$B$2:$B$52,'Calc Method Using MWh'!D30,'Input- EIA 2012 Generation Data'!$H$2:$H$52)*AVERAGEIF($D$16:$D$66,D30,$E$16:$E$66))</f>
        <v>110786042.14611122</v>
      </c>
      <c r="H30" s="28">
        <f ca="1">SUMIF('Input- EIA 2012 Generation Data'!$B$2:$G$52,'Calc Method Using MWh'!D30,'Input- EIA 2012 Generation Data'!$D$2:$D$52)</f>
        <v>52058235.869999997</v>
      </c>
      <c r="I30" s="57">
        <f t="shared" ca="1" si="14"/>
        <v>5.9815900091390484E-2</v>
      </c>
      <c r="J30" s="42">
        <f>VLOOKUP(B30,'Input- EIA 2012 Generation Data'!$A$2:$G$52,4,FALSE)</f>
        <v>3546367.4000000004</v>
      </c>
      <c r="K30" s="28">
        <f t="shared" ca="1" si="6"/>
        <v>3758496.5580857648</v>
      </c>
      <c r="L30" s="28">
        <f t="shared" ca="1" si="6"/>
        <v>3983314.4126980579</v>
      </c>
      <c r="M30" s="28">
        <f t="shared" ca="1" si="6"/>
        <v>4221579.9496406009</v>
      </c>
      <c r="N30" s="28">
        <f t="shared" ca="1" si="6"/>
        <v>4474097.5541361207</v>
      </c>
      <c r="O30" s="28">
        <f t="shared" ca="1" si="6"/>
        <v>4741719.7264334615</v>
      </c>
      <c r="P30" s="28">
        <f t="shared" ca="1" si="6"/>
        <v>5025349.9598511811</v>
      </c>
      <c r="Q30" s="28">
        <f t="shared" ca="1" si="6"/>
        <v>5325945.7909739129</v>
      </c>
      <c r="R30" s="28">
        <f t="shared" ca="1" si="6"/>
        <v>5644522.03229897</v>
      </c>
      <c r="S30" s="28">
        <f t="shared" ca="1" si="6"/>
        <v>5982154.1982466178</v>
      </c>
      <c r="T30" s="28">
        <f t="shared" ca="1" si="6"/>
        <v>6339982.1361002298</v>
      </c>
      <c r="U30" s="28">
        <f t="shared" ca="1" si="6"/>
        <v>6719213.8741344018</v>
      </c>
      <c r="V30" s="28">
        <f t="shared" ca="1" si="6"/>
        <v>7121129.6999223102</v>
      </c>
      <c r="W30" s="28">
        <f t="shared" ca="1" si="6"/>
        <v>7547086.4825906968</v>
      </c>
      <c r="X30" s="24" t="s">
        <v>68</v>
      </c>
      <c r="Y30" s="28">
        <f t="shared" si="7"/>
        <v>3546367.4000000004</v>
      </c>
      <c r="Z30" s="42">
        <f t="shared" ca="1" si="8"/>
        <v>5892120.1454687901</v>
      </c>
      <c r="AA30" s="42">
        <f t="shared" ca="1" si="9"/>
        <v>7547086.4825906968</v>
      </c>
      <c r="AB30" s="42">
        <f t="shared" ca="1" si="10"/>
        <v>5042327.0127387289</v>
      </c>
      <c r="AC30" s="42">
        <f t="shared" ca="1" si="11"/>
        <v>5644522.03229897</v>
      </c>
      <c r="AD30" s="90"/>
      <c r="AE30" s="91"/>
      <c r="AF30" s="91"/>
      <c r="AG30" s="91"/>
      <c r="AH30" s="91"/>
      <c r="AI30" s="91"/>
      <c r="AJ30" s="91"/>
      <c r="AK30" s="90"/>
      <c r="AL30" s="90"/>
      <c r="AM30" s="90"/>
      <c r="AN30" s="90"/>
      <c r="AP30" s="121"/>
      <c r="AQ30" s="121"/>
      <c r="AR30" s="121"/>
      <c r="AS30" s="121"/>
      <c r="AT30" s="121"/>
      <c r="AU30" s="121"/>
      <c r="AV30" s="121"/>
      <c r="AW30" s="121"/>
      <c r="AX30" s="121"/>
      <c r="AY30" s="121"/>
    </row>
    <row r="31" spans="1:51" x14ac:dyDescent="0.25">
      <c r="A31" s="24" t="s">
        <v>65</v>
      </c>
      <c r="B31" s="24" t="s">
        <v>39</v>
      </c>
      <c r="C31" s="30" t="str">
        <f>IF(VLOOKUP(A31,'Input - Effective RE Level'!$A$2:$B$52,2,FALSE)=0,"",VLOOKUP(A31,'Input - Effective RE Level'!$A$2:$B$52,2,FALSE))</f>
        <v/>
      </c>
      <c r="D31" s="24" t="s">
        <v>122</v>
      </c>
      <c r="E31" s="60">
        <f t="shared" si="15"/>
        <v>0.15114</v>
      </c>
      <c r="F31" s="28">
        <f>E31*VLOOKUP(B31,'Input- EIA 2012 Generation Data'!$A$2:$H$52,8,FALSE)</f>
        <v>8565920.5484688003</v>
      </c>
      <c r="G31" s="28">
        <f>(SUMIF('Input- EIA 2012 Generation Data'!$B$2:$B$52,'Calc Method Using MWh'!D31,'Input- EIA 2012 Generation Data'!$H$2:$H$52)*AVERAGEIF($D$16:$D$66,D31,$E$16:$E$66))</f>
        <v>110786042.14611122</v>
      </c>
      <c r="H31" s="28">
        <f ca="1">SUMIF('Input- EIA 2012 Generation Data'!$B$2:$G$52,'Calc Method Using MWh'!D31,'Input- EIA 2012 Generation Data'!$D$2:$D$52)</f>
        <v>52058235.869999997</v>
      </c>
      <c r="I31" s="57">
        <f t="shared" ca="1" si="14"/>
        <v>5.9815900091390484E-2</v>
      </c>
      <c r="J31" s="42">
        <f>VLOOKUP(B31,'Input- EIA 2012 Generation Data'!$A$2:$G$52,4,FALSE)</f>
        <v>14183424.140000001</v>
      </c>
      <c r="K31" s="28">
        <f t="shared" ca="1" si="6"/>
        <v>8565920.5484688003</v>
      </c>
      <c r="L31" s="28">
        <f t="shared" ca="1" si="6"/>
        <v>8565920.5484688003</v>
      </c>
      <c r="M31" s="28">
        <f t="shared" ca="1" si="6"/>
        <v>8565920.5484688003</v>
      </c>
      <c r="N31" s="28">
        <f t="shared" ca="1" si="6"/>
        <v>8565920.5484688003</v>
      </c>
      <c r="O31" s="28">
        <f t="shared" ca="1" si="6"/>
        <v>8565920.5484688003</v>
      </c>
      <c r="P31" s="28">
        <f t="shared" ca="1" si="6"/>
        <v>8565920.5484688003</v>
      </c>
      <c r="Q31" s="28">
        <f t="shared" ca="1" si="6"/>
        <v>8565920.5484688003</v>
      </c>
      <c r="R31" s="28">
        <f t="shared" ca="1" si="6"/>
        <v>8565920.5484688003</v>
      </c>
      <c r="S31" s="28">
        <f t="shared" ca="1" si="6"/>
        <v>8565920.5484688003</v>
      </c>
      <c r="T31" s="28">
        <f t="shared" ca="1" si="6"/>
        <v>8565920.5484688003</v>
      </c>
      <c r="U31" s="28">
        <f t="shared" ca="1" si="6"/>
        <v>8565920.5484688003</v>
      </c>
      <c r="V31" s="28">
        <f t="shared" ca="1" si="6"/>
        <v>8565920.5484688003</v>
      </c>
      <c r="W31" s="28">
        <f t="shared" ca="1" si="6"/>
        <v>8565920.5484688003</v>
      </c>
      <c r="X31" s="24" t="s">
        <v>65</v>
      </c>
      <c r="Y31" s="28">
        <f t="shared" si="7"/>
        <v>14183424.140000001</v>
      </c>
      <c r="Z31" s="42">
        <f t="shared" ca="1" si="8"/>
        <v>8565920.5484688003</v>
      </c>
      <c r="AA31" s="42">
        <f t="shared" ca="1" si="9"/>
        <v>8565920.5484688003</v>
      </c>
      <c r="AB31" s="42">
        <f t="shared" ca="1" si="10"/>
        <v>8565920.5484688003</v>
      </c>
      <c r="AC31" s="42">
        <f t="shared" ca="1" si="11"/>
        <v>8565920.5484688003</v>
      </c>
      <c r="AD31" s="92"/>
      <c r="AE31" s="91"/>
      <c r="AF31" s="91"/>
      <c r="AG31" s="91"/>
      <c r="AH31" s="91"/>
      <c r="AI31" s="91"/>
      <c r="AJ31" s="91"/>
      <c r="AK31" s="90"/>
      <c r="AL31" s="90"/>
      <c r="AM31" s="90"/>
      <c r="AN31" s="90"/>
      <c r="AP31" s="121"/>
      <c r="AQ31" s="121"/>
      <c r="AR31" s="121"/>
      <c r="AS31" s="121"/>
      <c r="AT31" s="121"/>
      <c r="AU31" s="121"/>
      <c r="AV31" s="121"/>
      <c r="AW31" s="121"/>
      <c r="AX31" s="121"/>
      <c r="AY31" s="121"/>
    </row>
    <row r="32" spans="1:51" x14ac:dyDescent="0.25">
      <c r="A32" s="24" t="s">
        <v>69</v>
      </c>
      <c r="B32" s="24" t="s">
        <v>35</v>
      </c>
      <c r="C32" s="30">
        <f>IF(VLOOKUP(A32,'Input - Effective RE Level'!$A$2:$B$52,2,FALSE)=0,"",VLOOKUP(A32,'Input - Effective RE Level'!$A$2:$B$52,2,FALSE))</f>
        <v>0.2</v>
      </c>
      <c r="D32" s="24" t="s">
        <v>119</v>
      </c>
      <c r="E32" s="60">
        <f t="shared" si="15"/>
        <v>0.2</v>
      </c>
      <c r="F32" s="28">
        <f>E32*VLOOKUP(B32,'Input- EIA 2012 Generation Data'!$A$2:$H$52,8,FALSE)</f>
        <v>8884938.154000001</v>
      </c>
      <c r="G32" s="28">
        <f>(SUMIF('Input- EIA 2012 Generation Data'!$B$2:$B$52,'Calc Method Using MWh'!D32,'Input- EIA 2012 Generation Data'!$H$2:$H$52)*AVERAGEIF($D$16:$D$66,D32,$E$16:$E$66))</f>
        <v>150952893.01199996</v>
      </c>
      <c r="H32" s="28">
        <f ca="1">SUMIF('Input- EIA 2012 Generation Data'!$B$2:$G$52,'Calc Method Using MWh'!D32,'Input- EIA 2012 Generation Data'!$D$2:$D$52)</f>
        <v>53227248.009999998</v>
      </c>
      <c r="I32" s="57">
        <f t="shared" ca="1" si="14"/>
        <v>8.3486858853496049E-2</v>
      </c>
      <c r="J32" s="42">
        <f>VLOOKUP(B32,'Input- EIA 2012 Generation Data'!$A$2:$G$52,4,FALSE)</f>
        <v>5252653.3499999996</v>
      </c>
      <c r="K32" s="28">
        <f t="shared" ca="1" si="6"/>
        <v>5691180.8788377931</v>
      </c>
      <c r="L32" s="28">
        <f t="shared" ca="1" si="6"/>
        <v>6166319.6935790395</v>
      </c>
      <c r="M32" s="28">
        <f t="shared" ca="1" si="6"/>
        <v>6681126.355482406</v>
      </c>
      <c r="N32" s="28">
        <f t="shared" ca="1" si="6"/>
        <v>7238912.608504938</v>
      </c>
      <c r="O32" s="28">
        <f t="shared" ca="1" si="6"/>
        <v>7843266.6837039823</v>
      </c>
      <c r="P32" s="28">
        <f t="shared" ca="1" si="6"/>
        <v>8498076.3822767045</v>
      </c>
      <c r="Q32" s="28">
        <f t="shared" ca="1" si="6"/>
        <v>8884938.154000001</v>
      </c>
      <c r="R32" s="28">
        <f t="shared" ca="1" si="6"/>
        <v>8884938.154000001</v>
      </c>
      <c r="S32" s="28">
        <f t="shared" ca="1" si="6"/>
        <v>8884938.154000001</v>
      </c>
      <c r="T32" s="28">
        <f t="shared" ca="1" si="6"/>
        <v>8884938.154000001</v>
      </c>
      <c r="U32" s="28">
        <f t="shared" ca="1" si="6"/>
        <v>8884938.154000001</v>
      </c>
      <c r="V32" s="28">
        <f t="shared" ca="1" si="6"/>
        <v>8884938.154000001</v>
      </c>
      <c r="W32" s="28">
        <f t="shared" ca="1" si="6"/>
        <v>8884938.154000001</v>
      </c>
      <c r="X32" s="24" t="s">
        <v>69</v>
      </c>
      <c r="Y32" s="28">
        <f t="shared" si="7"/>
        <v>5252653.3499999996</v>
      </c>
      <c r="Z32" s="42">
        <f t="shared" ca="1" si="8"/>
        <v>8577482.2752485611</v>
      </c>
      <c r="AA32" s="42">
        <f t="shared" ca="1" si="9"/>
        <v>8884938.154000001</v>
      </c>
      <c r="AB32" s="42">
        <f t="shared" ca="1" si="10"/>
        <v>8270026.3964971248</v>
      </c>
      <c r="AC32" s="42">
        <f t="shared" ca="1" si="11"/>
        <v>8884938.154000001</v>
      </c>
      <c r="AD32" s="90"/>
      <c r="AE32" s="91"/>
      <c r="AF32" s="91"/>
      <c r="AG32" s="91"/>
      <c r="AH32" s="91"/>
      <c r="AI32" s="91"/>
      <c r="AJ32" s="91"/>
      <c r="AK32" s="90"/>
      <c r="AL32" s="90"/>
      <c r="AM32" s="90"/>
      <c r="AN32" s="90"/>
      <c r="AP32" s="121"/>
      <c r="AQ32" s="121"/>
      <c r="AR32" s="121"/>
      <c r="AS32" s="121"/>
      <c r="AT32" s="121"/>
      <c r="AU32" s="121"/>
      <c r="AV32" s="121"/>
      <c r="AW32" s="121"/>
      <c r="AX32" s="121"/>
      <c r="AY32" s="121"/>
    </row>
    <row r="33" spans="1:51" x14ac:dyDescent="0.25">
      <c r="A33" s="24" t="s">
        <v>70</v>
      </c>
      <c r="B33" s="24" t="s">
        <v>34</v>
      </c>
      <c r="C33" s="30" t="str">
        <f>IF(VLOOKUP(A33,'Input - Effective RE Level'!$A$2:$B$52,2,FALSE)=0,"",VLOOKUP(A33,'Input - Effective RE Level'!$A$2:$B$52,2,FALSE))</f>
        <v/>
      </c>
      <c r="D33" s="24" t="s">
        <v>117</v>
      </c>
      <c r="E33" s="60">
        <f t="shared" si="15"/>
        <v>0.1</v>
      </c>
      <c r="F33" s="28">
        <f>E33*VLOOKUP(B33,'Input- EIA 2012 Generation Data'!$A$2:$H$52,8,FALSE)</f>
        <v>8994968.8699999992</v>
      </c>
      <c r="G33" s="28">
        <f>(SUMIF('Input- EIA 2012 Generation Data'!$B$2:$B$52,'Calc Method Using MWh'!D33,'Input- EIA 2012 Generation Data'!$H$2:$H$52)*AVERAGEIF($D$16:$D$66,D33,$E$16:$E$66))</f>
        <v>93197688.003999993</v>
      </c>
      <c r="H33" s="28">
        <f ca="1">SUMIF('Input- EIA 2012 Generation Data'!$B$2:$G$52,'Calc Method Using MWh'!D33,'Input- EIA 2012 Generation Data'!$D$2:$D$52)</f>
        <v>18104807.379999999</v>
      </c>
      <c r="I33" s="57">
        <f t="shared" ca="1" si="14"/>
        <v>0.13432975769258282</v>
      </c>
      <c r="J33" s="42">
        <f>VLOOKUP(B33,'Input- EIA 2012 Generation Data'!$A$2:$G$52,4,FALSE)</f>
        <v>332879.45</v>
      </c>
      <c r="K33" s="28">
        <f t="shared" ca="1" si="6"/>
        <v>377595.06585934025</v>
      </c>
      <c r="L33" s="28">
        <f t="shared" ca="1" si="6"/>
        <v>428317.31956214027</v>
      </c>
      <c r="M33" s="28">
        <f t="shared" ca="1" si="6"/>
        <v>485853.08131445915</v>
      </c>
      <c r="N33" s="28">
        <f t="shared" ca="1" si="6"/>
        <v>551117.60800162517</v>
      </c>
      <c r="O33" s="28">
        <f t="shared" ca="1" si="6"/>
        <v>625149.10274459934</v>
      </c>
      <c r="P33" s="28">
        <f t="shared" ca="1" si="6"/>
        <v>709125.23023801693</v>
      </c>
      <c r="Q33" s="28">
        <f t="shared" ca="1" si="6"/>
        <v>804381.85058958677</v>
      </c>
      <c r="R33" s="28">
        <f t="shared" ca="1" si="6"/>
        <v>912434.26967159729</v>
      </c>
      <c r="S33" s="28">
        <f t="shared" ca="1" si="6"/>
        <v>1035001.3440269917</v>
      </c>
      <c r="T33" s="28">
        <f t="shared" ca="1" si="6"/>
        <v>1174032.8237816351</v>
      </c>
      <c r="U33" s="28">
        <f t="shared" ca="1" si="6"/>
        <v>1331740.3685233609</v>
      </c>
      <c r="V33" s="28">
        <f t="shared" ca="1" si="6"/>
        <v>1510632.729536535</v>
      </c>
      <c r="W33" s="28">
        <f t="shared" ca="1" si="6"/>
        <v>1713555.6580576627</v>
      </c>
      <c r="X33" s="24" t="s">
        <v>70</v>
      </c>
      <c r="Y33" s="28">
        <f t="shared" si="7"/>
        <v>332879.45</v>
      </c>
      <c r="Z33" s="42">
        <f t="shared" ca="1" si="8"/>
        <v>1036717.0985171612</v>
      </c>
      <c r="AA33" s="42">
        <f t="shared" ca="1" si="9"/>
        <v>1713555.6580576627</v>
      </c>
      <c r="AB33" s="42">
        <f t="shared" ca="1" si="10"/>
        <v>720441.6122490851</v>
      </c>
      <c r="AC33" s="42">
        <f t="shared" ca="1" si="11"/>
        <v>912434.26967159729</v>
      </c>
      <c r="AD33" s="90"/>
      <c r="AE33" s="91"/>
      <c r="AF33" s="91"/>
      <c r="AG33" s="91"/>
      <c r="AH33" s="91"/>
      <c r="AI33" s="91"/>
      <c r="AJ33" s="91"/>
      <c r="AK33" s="90"/>
      <c r="AL33" s="90"/>
      <c r="AM33" s="90"/>
      <c r="AN33" s="90"/>
      <c r="AP33" s="121"/>
      <c r="AQ33" s="121"/>
      <c r="AR33" s="121"/>
      <c r="AS33" s="121"/>
      <c r="AT33" s="121"/>
      <c r="AU33" s="121"/>
      <c r="AV33" s="121"/>
      <c r="AW33" s="121"/>
      <c r="AX33" s="121"/>
      <c r="AY33" s="121"/>
    </row>
    <row r="34" spans="1:51" x14ac:dyDescent="0.25">
      <c r="A34" s="24" t="s">
        <v>71</v>
      </c>
      <c r="B34" s="24" t="s">
        <v>33</v>
      </c>
      <c r="C34" s="30" t="str">
        <f>IF(VLOOKUP(A34,'Input - Effective RE Level'!$A$2:$B$52,2,FALSE)=0,"",VLOOKUP(A34,'Input - Effective RE Level'!$A$2:$B$52,2,FALSE))</f>
        <v/>
      </c>
      <c r="D34" s="24" t="s">
        <v>119</v>
      </c>
      <c r="E34" s="60">
        <f t="shared" si="15"/>
        <v>0.2</v>
      </c>
      <c r="F34" s="28">
        <f>E34*VLOOKUP(B34,'Input- EIA 2012 Generation Data'!$A$2:$H$52,8,FALSE)</f>
        <v>20681541.164000001</v>
      </c>
      <c r="G34" s="28">
        <f>(SUMIF('Input- EIA 2012 Generation Data'!$B$2:$B$52,'Calc Method Using MWh'!D34,'Input- EIA 2012 Generation Data'!$H$2:$H$52)*AVERAGEIF($D$16:$D$66,D34,$E$16:$E$66))</f>
        <v>150952893.01199996</v>
      </c>
      <c r="H34" s="28">
        <f ca="1">SUMIF('Input- EIA 2012 Generation Data'!$B$2:$G$52,'Calc Method Using MWh'!D34,'Input- EIA 2012 Generation Data'!$D$2:$D$52)</f>
        <v>53227248.009999998</v>
      </c>
      <c r="I34" s="57">
        <f t="shared" ca="1" si="14"/>
        <v>8.3486858853496049E-2</v>
      </c>
      <c r="J34" s="42">
        <f>VLOOKUP(B34,'Input- EIA 2012 Generation Data'!$A$2:$G$52,4,FALSE)</f>
        <v>2430042.23</v>
      </c>
      <c r="K34" s="28">
        <f t="shared" ca="1" si="6"/>
        <v>2632918.8226640448</v>
      </c>
      <c r="L34" s="28">
        <f t="shared" ref="L34:W49" ca="1" si="16">MIN(K34*(1+$I34),$F34)</f>
        <v>2852732.9447845109</v>
      </c>
      <c r="M34" s="28">
        <f t="shared" ca="1" si="16"/>
        <v>3090898.6574924537</v>
      </c>
      <c r="N34" s="28">
        <f t="shared" ca="1" si="16"/>
        <v>3348948.0774409864</v>
      </c>
      <c r="O34" s="28">
        <f t="shared" ca="1" si="16"/>
        <v>3628541.2328899889</v>
      </c>
      <c r="P34" s="28">
        <f t="shared" ca="1" si="16"/>
        <v>3931476.7426443659</v>
      </c>
      <c r="Q34" s="28">
        <f t="shared" ca="1" si="16"/>
        <v>4259703.3865433186</v>
      </c>
      <c r="R34" s="28">
        <f t="shared" ca="1" si="16"/>
        <v>4615332.6419334197</v>
      </c>
      <c r="S34" s="28">
        <f t="shared" ca="1" si="16"/>
        <v>5000652.2667724481</v>
      </c>
      <c r="T34" s="28">
        <f t="shared" ca="1" si="16"/>
        <v>5418141.0167438947</v>
      </c>
      <c r="U34" s="28">
        <f t="shared" ca="1" si="16"/>
        <v>5870484.5910571301</v>
      </c>
      <c r="V34" s="28">
        <f t="shared" ca="1" si="16"/>
        <v>6360592.9095123401</v>
      </c>
      <c r="W34" s="28">
        <f t="shared" ca="1" si="16"/>
        <v>6891618.831973345</v>
      </c>
      <c r="X34" s="24" t="s">
        <v>71</v>
      </c>
      <c r="Y34" s="28">
        <f t="shared" si="7"/>
        <v>2430042.23</v>
      </c>
      <c r="Z34" s="42">
        <f t="shared" ca="1" si="8"/>
        <v>4932549.1697511245</v>
      </c>
      <c r="AA34" s="42">
        <f t="shared" ca="1" si="9"/>
        <v>6891618.831973345</v>
      </c>
      <c r="AB34" s="42">
        <f t="shared" ca="1" si="10"/>
        <v>3956800.4162904159</v>
      </c>
      <c r="AC34" s="42">
        <f t="shared" ca="1" si="11"/>
        <v>4615332.6419334197</v>
      </c>
      <c r="AD34" s="90"/>
      <c r="AE34" s="91"/>
      <c r="AF34" s="91"/>
      <c r="AG34" s="91"/>
      <c r="AH34" s="91"/>
      <c r="AI34" s="91"/>
      <c r="AJ34" s="91"/>
      <c r="AK34" s="90"/>
      <c r="AL34" s="90"/>
      <c r="AM34" s="90"/>
      <c r="AN34" s="90"/>
      <c r="AP34" s="121"/>
      <c r="AQ34" s="121"/>
      <c r="AR34" s="121"/>
      <c r="AS34" s="121"/>
      <c r="AT34" s="121"/>
      <c r="AU34" s="121"/>
      <c r="AV34" s="121"/>
      <c r="AW34" s="121"/>
      <c r="AX34" s="121"/>
      <c r="AY34" s="121"/>
    </row>
    <row r="35" spans="1:51" x14ac:dyDescent="0.25">
      <c r="A35" s="24" t="s">
        <v>74</v>
      </c>
      <c r="B35" s="24" t="s">
        <v>30</v>
      </c>
      <c r="C35" s="30">
        <f>IF(VLOOKUP(A35,'Input - Effective RE Level'!$A$2:$B$52,2,FALSE)=0,"",VLOOKUP(A35,'Input - Effective RE Level'!$A$2:$B$52,2,FALSE))</f>
        <v>0.4</v>
      </c>
      <c r="D35" s="24" t="s">
        <v>120</v>
      </c>
      <c r="E35" s="60">
        <f t="shared" si="15"/>
        <v>0.25031738739456966</v>
      </c>
      <c r="F35" s="28">
        <f>E35*VLOOKUP(B35,'Input- EIA 2012 Generation Data'!$A$2:$H$52,8,FALSE)</f>
        <v>3611728.4319631737</v>
      </c>
      <c r="G35" s="28">
        <f>(SUMIF('Input- EIA 2012 Generation Data'!$B$2:$B$52,'Calc Method Using MWh'!D35,'Input- EIA 2012 Generation Data'!$H$2:$H$52)*AVERAGEIF($D$16:$D$66,D35,$E$16:$E$66))</f>
        <v>64245372.586592935</v>
      </c>
      <c r="H35" s="28">
        <f ca="1">SUMIF('Input- EIA 2012 Generation Data'!$B$2:$G$52,'Calc Method Using MWh'!D35,'Input- EIA 2012 Generation Data'!$D$2:$D$52)</f>
        <v>13749515.33</v>
      </c>
      <c r="I35" s="57">
        <f t="shared" ca="1" si="14"/>
        <v>0.12591132996001231</v>
      </c>
      <c r="J35" s="42">
        <f>VLOOKUP(B35,'Input- EIA 2012 Generation Data'!$A$2:$G$52,4,FALSE)</f>
        <v>4098795.34</v>
      </c>
      <c r="K35" s="28">
        <f t="shared" ca="1" si="6"/>
        <v>3611728.4319631737</v>
      </c>
      <c r="L35" s="28">
        <f t="shared" ca="1" si="16"/>
        <v>3611728.4319631737</v>
      </c>
      <c r="M35" s="28">
        <f t="shared" ca="1" si="16"/>
        <v>3611728.4319631737</v>
      </c>
      <c r="N35" s="28">
        <f t="shared" ca="1" si="16"/>
        <v>3611728.4319631737</v>
      </c>
      <c r="O35" s="28">
        <f t="shared" ca="1" si="16"/>
        <v>3611728.4319631737</v>
      </c>
      <c r="P35" s="28">
        <f t="shared" ca="1" si="16"/>
        <v>3611728.4319631737</v>
      </c>
      <c r="Q35" s="28">
        <f t="shared" ca="1" si="16"/>
        <v>3611728.4319631737</v>
      </c>
      <c r="R35" s="28">
        <f t="shared" ca="1" si="16"/>
        <v>3611728.4319631737</v>
      </c>
      <c r="S35" s="28">
        <f t="shared" ca="1" si="16"/>
        <v>3611728.4319631737</v>
      </c>
      <c r="T35" s="28">
        <f t="shared" ca="1" si="16"/>
        <v>3611728.4319631737</v>
      </c>
      <c r="U35" s="28">
        <f t="shared" ca="1" si="16"/>
        <v>3611728.4319631737</v>
      </c>
      <c r="V35" s="28">
        <f t="shared" ca="1" si="16"/>
        <v>3611728.4319631737</v>
      </c>
      <c r="W35" s="28">
        <f t="shared" ca="1" si="16"/>
        <v>3611728.4319631737</v>
      </c>
      <c r="X35" s="24" t="s">
        <v>74</v>
      </c>
      <c r="Y35" s="28">
        <f t="shared" si="7"/>
        <v>4098795.34</v>
      </c>
      <c r="Z35" s="42">
        <f t="shared" ca="1" si="8"/>
        <v>3611728.4319631746</v>
      </c>
      <c r="AA35" s="42">
        <f t="shared" ca="1" si="9"/>
        <v>3611728.4319631737</v>
      </c>
      <c r="AB35" s="42">
        <f t="shared" ca="1" si="10"/>
        <v>3611728.4319631741</v>
      </c>
      <c r="AC35" s="42">
        <f t="shared" ca="1" si="11"/>
        <v>3611728.4319631737</v>
      </c>
      <c r="AD35" s="90"/>
      <c r="AE35" s="91"/>
      <c r="AF35" s="91"/>
      <c r="AG35" s="91"/>
      <c r="AH35" s="91"/>
      <c r="AI35" s="91"/>
      <c r="AJ35" s="91"/>
      <c r="AK35" s="90"/>
      <c r="AL35" s="90"/>
      <c r="AM35" s="90"/>
      <c r="AN35" s="90"/>
      <c r="AP35" s="121"/>
      <c r="AQ35" s="121"/>
      <c r="AR35" s="121"/>
      <c r="AS35" s="121"/>
      <c r="AT35" s="121"/>
      <c r="AU35" s="121"/>
      <c r="AV35" s="121"/>
      <c r="AW35" s="121"/>
      <c r="AX35" s="121"/>
      <c r="AY35" s="121"/>
    </row>
    <row r="36" spans="1:51" x14ac:dyDescent="0.25">
      <c r="A36" s="24" t="s">
        <v>73</v>
      </c>
      <c r="B36" s="24" t="s">
        <v>31</v>
      </c>
      <c r="C36" s="30">
        <f>IF(VLOOKUP(A36,'Input - Effective RE Level'!$A$2:$B$52,2,FALSE)=0,"",VLOOKUP(A36,'Input - Effective RE Level'!$A$2:$B$52,2,FALSE))</f>
        <v>0.18</v>
      </c>
      <c r="D36" s="24" t="s">
        <v>121</v>
      </c>
      <c r="E36" s="60">
        <f t="shared" si="15"/>
        <v>0.15821500000000002</v>
      </c>
      <c r="F36" s="28">
        <f>E36*VLOOKUP(B36,'Input- EIA 2012 Generation Data'!$A$2:$H$52,8,FALSE)</f>
        <v>5982068.5757632507</v>
      </c>
      <c r="G36" s="28">
        <f>(SUMIF('Input- EIA 2012 Generation Data'!$B$2:$B$52,'Calc Method Using MWh'!D36,'Input- EIA 2012 Generation Data'!$H$2:$H$52)*AVERAGEIF($D$16:$D$66,D36,$E$16:$E$66))</f>
        <v>96368237.239952162</v>
      </c>
      <c r="H36" s="28">
        <f ca="1">SUMIF('Input- EIA 2012 Generation Data'!$B$2:$G$52,'Calc Method Using MWh'!D36,'Input- EIA 2012 Generation Data'!$D$2:$D$52)</f>
        <v>12162663.629999999</v>
      </c>
      <c r="I36" s="57">
        <f t="shared" ca="1" si="14"/>
        <v>0.17259099671408151</v>
      </c>
      <c r="J36" s="42">
        <f>VLOOKUP(B36,'Input- EIA 2012 Generation Data'!$A$2:$G$52,4,FALSE)</f>
        <v>898152.46</v>
      </c>
      <c r="K36" s="28">
        <f t="shared" ca="1" si="6"/>
        <v>1053165.4882726043</v>
      </c>
      <c r="L36" s="28">
        <f t="shared" ca="1" si="16"/>
        <v>1234932.3695984455</v>
      </c>
      <c r="M36" s="28">
        <f t="shared" ca="1" si="16"/>
        <v>1448070.5781419238</v>
      </c>
      <c r="N36" s="28">
        <f t="shared" ca="1" si="16"/>
        <v>1697994.5225357746</v>
      </c>
      <c r="O36" s="28">
        <f t="shared" ca="1" si="16"/>
        <v>1991053.089595275</v>
      </c>
      <c r="P36" s="28">
        <f t="shared" ca="1" si="16"/>
        <v>2334690.9268391752</v>
      </c>
      <c r="Q36" s="28">
        <f t="shared" ca="1" si="16"/>
        <v>2737637.5609216713</v>
      </c>
      <c r="R36" s="28">
        <f t="shared" ca="1" si="16"/>
        <v>3210129.1562030497</v>
      </c>
      <c r="S36" s="28">
        <f t="shared" ca="1" si="16"/>
        <v>3764168.5468530674</v>
      </c>
      <c r="T36" s="28">
        <f t="shared" ca="1" si="16"/>
        <v>4413830.1481542345</v>
      </c>
      <c r="U36" s="28">
        <f t="shared" ca="1" si="16"/>
        <v>5175617.4927508356</v>
      </c>
      <c r="V36" s="28">
        <f t="shared" ca="1" si="16"/>
        <v>5982068.5757632507</v>
      </c>
      <c r="W36" s="28">
        <f t="shared" ca="1" si="16"/>
        <v>5982068.5757632507</v>
      </c>
      <c r="X36" s="24" t="s">
        <v>73</v>
      </c>
      <c r="Y36" s="28">
        <f t="shared" si="7"/>
        <v>898152.46</v>
      </c>
      <c r="Z36" s="42">
        <f t="shared" ca="1" si="8"/>
        <v>3728925.8595379582</v>
      </c>
      <c r="AA36" s="42">
        <f t="shared" ca="1" si="9"/>
        <v>5982068.5757632507</v>
      </c>
      <c r="AB36" s="42">
        <f t="shared" ca="1" si="10"/>
        <v>2394301.0512189893</v>
      </c>
      <c r="AC36" s="42">
        <f t="shared" ca="1" si="11"/>
        <v>3210129.1562030497</v>
      </c>
      <c r="AD36" s="90"/>
      <c r="AE36" s="91"/>
      <c r="AF36" s="91"/>
      <c r="AG36" s="91"/>
      <c r="AH36" s="91"/>
      <c r="AI36" s="91"/>
      <c r="AJ36" s="91"/>
      <c r="AK36" s="90"/>
      <c r="AL36" s="90"/>
      <c r="AM36" s="90"/>
      <c r="AN36" s="90"/>
      <c r="AP36" s="121"/>
      <c r="AQ36" s="121"/>
      <c r="AR36" s="121"/>
      <c r="AS36" s="121"/>
      <c r="AT36" s="121"/>
      <c r="AU36" s="121"/>
      <c r="AV36" s="121"/>
      <c r="AW36" s="121"/>
      <c r="AX36" s="121"/>
      <c r="AY36" s="121"/>
    </row>
    <row r="37" spans="1:51" x14ac:dyDescent="0.25">
      <c r="A37" s="24" t="s">
        <v>72</v>
      </c>
      <c r="B37" s="24" t="s">
        <v>32</v>
      </c>
      <c r="C37" s="30">
        <f>IF(VLOOKUP(A37,'Input - Effective RE Level'!$A$2:$B$52,2,FALSE)=0,"",VLOOKUP(A37,'Input - Effective RE Level'!$A$2:$B$52,2,FALSE))</f>
        <v>0.22100000000000003</v>
      </c>
      <c r="D37" s="24" t="s">
        <v>120</v>
      </c>
      <c r="E37" s="60">
        <f t="shared" si="15"/>
        <v>0.25031738739456966</v>
      </c>
      <c r="F37" s="28">
        <f>E37*VLOOKUP(B37,'Input- EIA 2012 Generation Data'!$A$2:$H$52,8,FALSE)</f>
        <v>9061019.2024712004</v>
      </c>
      <c r="G37" s="28">
        <f>(SUMIF('Input- EIA 2012 Generation Data'!$B$2:$B$52,'Calc Method Using MWh'!D37,'Input- EIA 2012 Generation Data'!$H$2:$H$52)*AVERAGEIF($D$16:$D$66,D37,$E$16:$E$66))</f>
        <v>64245372.586592935</v>
      </c>
      <c r="H37" s="28">
        <f ca="1">SUMIF('Input- EIA 2012 Generation Data'!$B$2:$G$52,'Calc Method Using MWh'!D37,'Input- EIA 2012 Generation Data'!$D$2:$D$52)</f>
        <v>13749515.33</v>
      </c>
      <c r="I37" s="57">
        <f t="shared" ca="1" si="14"/>
        <v>0.12591132996001231</v>
      </c>
      <c r="J37" s="42">
        <f>VLOOKUP(B37,'Input- EIA 2012 Generation Data'!$A$2:$G$52,4,FALSE)</f>
        <v>1843418.9900000002</v>
      </c>
      <c r="K37" s="28">
        <f t="shared" ca="1" si="6"/>
        <v>2075526.326704443</v>
      </c>
      <c r="L37" s="28">
        <f t="shared" ca="1" si="16"/>
        <v>2336858.6068668184</v>
      </c>
      <c r="M37" s="28">
        <f t="shared" ca="1" si="16"/>
        <v>2631095.5819859211</v>
      </c>
      <c r="N37" s="28">
        <f t="shared" ca="1" si="16"/>
        <v>2962380.3259656811</v>
      </c>
      <c r="O37" s="28">
        <f t="shared" ca="1" si="16"/>
        <v>3335377.5726553947</v>
      </c>
      <c r="P37" s="28">
        <f t="shared" ca="1" si="16"/>
        <v>3755339.3987472332</v>
      </c>
      <c r="Q37" s="28">
        <f t="shared" ca="1" si="16"/>
        <v>4228179.17689473</v>
      </c>
      <c r="R37" s="28">
        <f t="shared" ca="1" si="16"/>
        <v>4760554.8403667752</v>
      </c>
      <c r="S37" s="28">
        <f t="shared" ca="1" si="16"/>
        <v>5359962.6316649299</v>
      </c>
      <c r="T37" s="28">
        <f t="shared" ca="1" si="16"/>
        <v>6034842.6551538287</v>
      </c>
      <c r="U37" s="28">
        <f t="shared" ca="1" si="16"/>
        <v>6794697.7199636595</v>
      </c>
      <c r="V37" s="28">
        <f t="shared" ca="1" si="16"/>
        <v>7650227.1465605469</v>
      </c>
      <c r="W37" s="28">
        <f t="shared" ca="1" si="16"/>
        <v>8613477.4210801758</v>
      </c>
      <c r="X37" s="24" t="s">
        <v>72</v>
      </c>
      <c r="Y37" s="28">
        <f t="shared" si="7"/>
        <v>1843418.9900000002</v>
      </c>
      <c r="Z37" s="42">
        <f t="shared" ca="1" si="8"/>
        <v>5349503.8889052961</v>
      </c>
      <c r="AA37" s="42">
        <f t="shared" ca="1" si="9"/>
        <v>8613477.4210801758</v>
      </c>
      <c r="AB37" s="42">
        <f t="shared" ca="1" si="10"/>
        <v>3808366.2629259629</v>
      </c>
      <c r="AC37" s="42">
        <f t="shared" ca="1" si="11"/>
        <v>4760554.8403667752</v>
      </c>
      <c r="AD37" s="90"/>
      <c r="AE37" s="91"/>
      <c r="AF37" s="91"/>
      <c r="AG37" s="91"/>
      <c r="AH37" s="91"/>
      <c r="AI37" s="91"/>
      <c r="AJ37" s="91"/>
      <c r="AK37" s="90"/>
      <c r="AL37" s="90"/>
      <c r="AM37" s="90"/>
      <c r="AN37" s="90"/>
      <c r="AP37" s="121"/>
      <c r="AQ37" s="121"/>
      <c r="AR37" s="121"/>
      <c r="AS37" s="121"/>
      <c r="AT37" s="121"/>
      <c r="AU37" s="121"/>
      <c r="AV37" s="121"/>
      <c r="AW37" s="121"/>
      <c r="AX37" s="121"/>
      <c r="AY37" s="121"/>
    </row>
    <row r="38" spans="1:51" x14ac:dyDescent="0.25">
      <c r="A38" s="24" t="s">
        <v>75</v>
      </c>
      <c r="B38" s="24" t="s">
        <v>29</v>
      </c>
      <c r="C38" s="30">
        <f>IF(VLOOKUP(A38,'Input - Effective RE Level'!$A$2:$B$52,2,FALSE)=0,"",VLOOKUP(A38,'Input - Effective RE Level'!$A$2:$B$52,2,FALSE))</f>
        <v>0.1</v>
      </c>
      <c r="D38" s="24" t="s">
        <v>122</v>
      </c>
      <c r="E38" s="60">
        <f t="shared" si="15"/>
        <v>0.15114</v>
      </c>
      <c r="F38" s="28">
        <f>E38*VLOOKUP(B38,'Input- EIA 2012 Generation Data'!$A$2:$H$52,8,FALSE)</f>
        <v>16348220.9820666</v>
      </c>
      <c r="G38" s="28">
        <f>(SUMIF('Input- EIA 2012 Generation Data'!$B$2:$B$52,'Calc Method Using MWh'!D38,'Input- EIA 2012 Generation Data'!$H$2:$H$52)*AVERAGEIF($D$16:$D$66,D38,$E$16:$E$66))</f>
        <v>110786042.14611122</v>
      </c>
      <c r="H38" s="28">
        <f ca="1">SUMIF('Input- EIA 2012 Generation Data'!$B$2:$G$52,'Calc Method Using MWh'!D38,'Input- EIA 2012 Generation Data'!$D$2:$D$52)</f>
        <v>52058235.869999997</v>
      </c>
      <c r="I38" s="57">
        <f t="shared" ca="1" si="14"/>
        <v>5.9815900091390484E-2</v>
      </c>
      <c r="J38" s="42">
        <f>VLOOKUP(B38,'Input- EIA 2012 Generation Data'!$A$2:$G$52,4,FALSE)</f>
        <v>3785439.13</v>
      </c>
      <c r="K38" s="28">
        <f t="shared" ca="1" si="6"/>
        <v>4011868.5788021199</v>
      </c>
      <c r="L38" s="28">
        <f t="shared" ca="1" si="16"/>
        <v>4251842.1088915365</v>
      </c>
      <c r="M38" s="28">
        <f t="shared" ca="1" si="16"/>
        <v>4506169.8716813596</v>
      </c>
      <c r="N38" s="28">
        <f t="shared" ca="1" si="16"/>
        <v>4775710.4785206858</v>
      </c>
      <c r="O38" s="28">
        <f t="shared" ca="1" si="16"/>
        <v>5061373.8993692854</v>
      </c>
      <c r="P38" s="28">
        <f t="shared" ca="1" si="16"/>
        <v>5364124.5348591302</v>
      </c>
      <c r="Q38" s="28">
        <f t="shared" ca="1" si="16"/>
        <v>5684984.4721140405</v>
      </c>
      <c r="R38" s="28">
        <f t="shared" ca="1" si="16"/>
        <v>6025036.9353191201</v>
      </c>
      <c r="S38" s="28">
        <f t="shared" ca="1" si="16"/>
        <v>6385429.9426891059</v>
      </c>
      <c r="T38" s="28">
        <f t="shared" ca="1" si="16"/>
        <v>6767380.1821815707</v>
      </c>
      <c r="U38" s="28">
        <f t="shared" ca="1" si="16"/>
        <v>7172177.1190393995</v>
      </c>
      <c r="V38" s="28">
        <f t="shared" ca="1" si="16"/>
        <v>7601187.3490296174</v>
      </c>
      <c r="W38" s="28">
        <f t="shared" ca="1" si="16"/>
        <v>8055859.2120751143</v>
      </c>
      <c r="X38" s="24" t="s">
        <v>75</v>
      </c>
      <c r="Y38" s="28">
        <f t="shared" si="7"/>
        <v>3785439.13</v>
      </c>
      <c r="Z38" s="42">
        <f t="shared" ca="1" si="8"/>
        <v>6289326.4125197064</v>
      </c>
      <c r="AA38" s="42">
        <f t="shared" ca="1" si="9"/>
        <v>8055859.2120751143</v>
      </c>
      <c r="AB38" s="42">
        <f t="shared" ca="1" si="10"/>
        <v>5382246.0640364531</v>
      </c>
      <c r="AC38" s="42">
        <f t="shared" ca="1" si="11"/>
        <v>6025036.9353191201</v>
      </c>
      <c r="AD38" s="90"/>
      <c r="AE38" s="91"/>
      <c r="AF38" s="91"/>
      <c r="AG38" s="91"/>
      <c r="AH38" s="91"/>
      <c r="AI38" s="91"/>
      <c r="AJ38" s="91"/>
      <c r="AK38" s="90"/>
      <c r="AL38" s="90"/>
      <c r="AM38" s="90"/>
      <c r="AN38" s="90"/>
      <c r="AP38" s="121"/>
      <c r="AQ38" s="121"/>
      <c r="AR38" s="121"/>
      <c r="AS38" s="121"/>
      <c r="AT38" s="121"/>
      <c r="AU38" s="121"/>
      <c r="AV38" s="121"/>
      <c r="AW38" s="121"/>
      <c r="AX38" s="121"/>
      <c r="AY38" s="121"/>
    </row>
    <row r="39" spans="1:51" x14ac:dyDescent="0.25">
      <c r="A39" s="24" t="s">
        <v>76</v>
      </c>
      <c r="B39" s="24" t="s">
        <v>28</v>
      </c>
      <c r="C39" s="30">
        <f>IF(VLOOKUP(A39,'Input - Effective RE Level'!$A$2:$B$52,2,FALSE)=0,"",VLOOKUP(A39,'Input - Effective RE Level'!$A$2:$B$52,2,FALSE))</f>
        <v>0.3</v>
      </c>
      <c r="D39" s="24" t="s">
        <v>122</v>
      </c>
      <c r="E39" s="60">
        <f t="shared" si="15"/>
        <v>0.15114</v>
      </c>
      <c r="F39" s="28">
        <f>E39*VLOOKUP(B39,'Input- EIA 2012 Generation Data'!$A$2:$H$52,8,FALSE)</f>
        <v>7888544.3585652001</v>
      </c>
      <c r="G39" s="28">
        <f>(SUMIF('Input- EIA 2012 Generation Data'!$B$2:$B$52,'Calc Method Using MWh'!D39,'Input- EIA 2012 Generation Data'!$H$2:$H$52)*AVERAGEIF($D$16:$D$66,D39,$E$16:$E$66))</f>
        <v>110786042.14611122</v>
      </c>
      <c r="H39" s="28">
        <f ca="1">SUMIF('Input- EIA 2012 Generation Data'!$B$2:$G$52,'Calc Method Using MWh'!D39,'Input- EIA 2012 Generation Data'!$D$2:$D$52)</f>
        <v>52058235.869999997</v>
      </c>
      <c r="I39" s="57">
        <f t="shared" ca="1" si="14"/>
        <v>5.9815900091390484E-2</v>
      </c>
      <c r="J39" s="42">
        <f>VLOOKUP(B39,'Input- EIA 2012 Generation Data'!$A$2:$G$52,4,FALSE)</f>
        <v>9453870.5099999998</v>
      </c>
      <c r="K39" s="28">
        <f t="shared" ca="1" si="6"/>
        <v>7888544.3585652001</v>
      </c>
      <c r="L39" s="28">
        <f t="shared" ca="1" si="16"/>
        <v>7888544.3585652001</v>
      </c>
      <c r="M39" s="28">
        <f t="shared" ca="1" si="16"/>
        <v>7888544.3585652001</v>
      </c>
      <c r="N39" s="28">
        <f t="shared" ca="1" si="16"/>
        <v>7888544.3585652001</v>
      </c>
      <c r="O39" s="28">
        <f t="shared" ca="1" si="16"/>
        <v>7888544.3585652001</v>
      </c>
      <c r="P39" s="28">
        <f t="shared" ca="1" si="16"/>
        <v>7888544.3585652001</v>
      </c>
      <c r="Q39" s="28">
        <f t="shared" ca="1" si="16"/>
        <v>7888544.3585652001</v>
      </c>
      <c r="R39" s="28">
        <f t="shared" ca="1" si="16"/>
        <v>7888544.3585652001</v>
      </c>
      <c r="S39" s="28">
        <f t="shared" ca="1" si="16"/>
        <v>7888544.3585652001</v>
      </c>
      <c r="T39" s="28">
        <f t="shared" ca="1" si="16"/>
        <v>7888544.3585652001</v>
      </c>
      <c r="U39" s="28">
        <f t="shared" ca="1" si="16"/>
        <v>7888544.3585652001</v>
      </c>
      <c r="V39" s="28">
        <f t="shared" ca="1" si="16"/>
        <v>7888544.3585652001</v>
      </c>
      <c r="W39" s="28">
        <f t="shared" ca="1" si="16"/>
        <v>7888544.3585652001</v>
      </c>
      <c r="X39" s="24" t="s">
        <v>76</v>
      </c>
      <c r="Y39" s="28">
        <f t="shared" si="7"/>
        <v>9453870.5099999998</v>
      </c>
      <c r="Z39" s="42">
        <f t="shared" ca="1" si="8"/>
        <v>7888544.3585651983</v>
      </c>
      <c r="AA39" s="42">
        <f t="shared" ca="1" si="9"/>
        <v>7888544.3585652001</v>
      </c>
      <c r="AB39" s="42">
        <f t="shared" ca="1" si="10"/>
        <v>7888544.3585651992</v>
      </c>
      <c r="AC39" s="42">
        <f t="shared" ca="1" si="11"/>
        <v>7888544.3585652001</v>
      </c>
      <c r="AD39" s="90"/>
      <c r="AE39" s="91"/>
      <c r="AF39" s="91"/>
      <c r="AG39" s="91"/>
      <c r="AH39" s="91"/>
      <c r="AI39" s="91"/>
      <c r="AJ39" s="91"/>
      <c r="AK39" s="90"/>
      <c r="AL39" s="90"/>
      <c r="AM39" s="90"/>
      <c r="AN39" s="90"/>
      <c r="AP39" s="121"/>
      <c r="AQ39" s="121"/>
      <c r="AR39" s="121"/>
      <c r="AS39" s="121"/>
      <c r="AT39" s="121"/>
      <c r="AU39" s="121"/>
      <c r="AV39" s="121"/>
      <c r="AW39" s="121"/>
      <c r="AX39" s="121"/>
      <c r="AY39" s="121"/>
    </row>
    <row r="40" spans="1:51" x14ac:dyDescent="0.25">
      <c r="A40" s="24" t="s">
        <v>78</v>
      </c>
      <c r="B40" s="24" t="s">
        <v>26</v>
      </c>
      <c r="C40" s="30" t="str">
        <f>IF(VLOOKUP(A40,'Input - Effective RE Level'!$A$2:$B$52,2,FALSE)=0,"",VLOOKUP(A40,'Input - Effective RE Level'!$A$2:$B$52,2,FALSE))</f>
        <v/>
      </c>
      <c r="D40" s="24" t="s">
        <v>117</v>
      </c>
      <c r="E40" s="60">
        <f t="shared" si="15"/>
        <v>0.1</v>
      </c>
      <c r="F40" s="28">
        <f>E40*VLOOKUP(B40,'Input- EIA 2012 Generation Data'!$A$2:$H$52,8,FALSE)</f>
        <v>5458429.5010000002</v>
      </c>
      <c r="G40" s="28">
        <f>(SUMIF('Input- EIA 2012 Generation Data'!$B$2:$B$52,'Calc Method Using MWh'!D40,'Input- EIA 2012 Generation Data'!$H$2:$H$52)*AVERAGEIF($D$16:$D$66,D40,$E$16:$E$66))</f>
        <v>93197688.003999993</v>
      </c>
      <c r="H40" s="28">
        <f ca="1">SUMIF('Input- EIA 2012 Generation Data'!$B$2:$G$52,'Calc Method Using MWh'!D40,'Input- EIA 2012 Generation Data'!$D$2:$D$52)</f>
        <v>18104807.379999999</v>
      </c>
      <c r="I40" s="57">
        <f t="shared" ca="1" si="14"/>
        <v>0.13432975769258282</v>
      </c>
      <c r="J40" s="42">
        <f>VLOOKUP(B40,'Input- EIA 2012 Generation Data'!$A$2:$G$52,4,FALSE)</f>
        <v>1509189.94</v>
      </c>
      <c r="K40" s="28">
        <f t="shared" ca="1" si="6"/>
        <v>1711919.0589522836</v>
      </c>
      <c r="L40" s="28">
        <f t="shared" ca="1" si="16"/>
        <v>1941880.7313306583</v>
      </c>
      <c r="M40" s="28">
        <f t="shared" ca="1" si="16"/>
        <v>2202733.0994382012</v>
      </c>
      <c r="N40" s="28">
        <f t="shared" ca="1" si="16"/>
        <v>2498625.7029471667</v>
      </c>
      <c r="O40" s="28">
        <f t="shared" ca="1" si="16"/>
        <v>2834265.4881885191</v>
      </c>
      <c r="P40" s="28">
        <f t="shared" ca="1" si="16"/>
        <v>3214991.6844533328</v>
      </c>
      <c r="Q40" s="28">
        <f t="shared" ca="1" si="16"/>
        <v>3646860.7384096175</v>
      </c>
      <c r="R40" s="28">
        <f t="shared" ca="1" si="16"/>
        <v>4136742.657738775</v>
      </c>
      <c r="S40" s="28">
        <f t="shared" ca="1" si="16"/>
        <v>4692430.296589396</v>
      </c>
      <c r="T40" s="28">
        <f t="shared" ca="1" si="16"/>
        <v>5322763.3213195838</v>
      </c>
      <c r="U40" s="28">
        <f t="shared" ca="1" si="16"/>
        <v>5458429.5010000002</v>
      </c>
      <c r="V40" s="28">
        <f t="shared" ca="1" si="16"/>
        <v>5458429.5010000002</v>
      </c>
      <c r="W40" s="28">
        <f t="shared" ca="1" si="16"/>
        <v>5458429.5010000002</v>
      </c>
      <c r="X40" s="24" t="s">
        <v>78</v>
      </c>
      <c r="Y40" s="28">
        <f t="shared" si="7"/>
        <v>1509189.94</v>
      </c>
      <c r="Z40" s="42">
        <f t="shared" ca="1" si="8"/>
        <v>4272196.8392646397</v>
      </c>
      <c r="AA40" s="42">
        <f t="shared" ca="1" si="9"/>
        <v>5458429.5010000002</v>
      </c>
      <c r="AB40" s="42">
        <f t="shared" ca="1" si="10"/>
        <v>3266297.2543474822</v>
      </c>
      <c r="AC40" s="42">
        <f t="shared" ca="1" si="11"/>
        <v>4136742.657738775</v>
      </c>
      <c r="AD40" s="90"/>
      <c r="AE40" s="91"/>
      <c r="AF40" s="91"/>
      <c r="AG40" s="91"/>
      <c r="AH40" s="91"/>
      <c r="AI40" s="91"/>
      <c r="AJ40" s="91"/>
      <c r="AK40" s="90"/>
      <c r="AL40" s="90"/>
      <c r="AM40" s="90"/>
      <c r="AN40" s="90"/>
      <c r="AP40" s="121"/>
      <c r="AQ40" s="121"/>
      <c r="AR40" s="121"/>
      <c r="AS40" s="121"/>
      <c r="AT40" s="121"/>
      <c r="AU40" s="121"/>
      <c r="AV40" s="121"/>
      <c r="AW40" s="121"/>
      <c r="AX40" s="121"/>
      <c r="AY40" s="121"/>
    </row>
    <row r="41" spans="1:51" x14ac:dyDescent="0.25">
      <c r="A41" s="24" t="s">
        <v>77</v>
      </c>
      <c r="B41" s="24" t="s">
        <v>27</v>
      </c>
      <c r="C41" s="30">
        <f>IF(VLOOKUP(A41,'Input - Effective RE Level'!$A$2:$B$52,2,FALSE)=0,"",VLOOKUP(A41,'Input - Effective RE Level'!$A$2:$B$52,2,FALSE))</f>
        <v>0.1</v>
      </c>
      <c r="D41" s="24" t="s">
        <v>122</v>
      </c>
      <c r="E41" s="60">
        <f t="shared" si="15"/>
        <v>0.15114</v>
      </c>
      <c r="F41" s="28">
        <f>E41*VLOOKUP(B41,'Input- EIA 2012 Generation Data'!$A$2:$H$52,8,FALSE)</f>
        <v>13875305.015484</v>
      </c>
      <c r="G41" s="28">
        <f>(SUMIF('Input- EIA 2012 Generation Data'!$B$2:$B$52,'Calc Method Using MWh'!D41,'Input- EIA 2012 Generation Data'!$H$2:$H$52)*AVERAGEIF($D$16:$D$66,D41,$E$16:$E$66))</f>
        <v>110786042.14611122</v>
      </c>
      <c r="H41" s="28">
        <f ca="1">SUMIF('Input- EIA 2012 Generation Data'!$B$2:$G$52,'Calc Method Using MWh'!D41,'Input- EIA 2012 Generation Data'!$D$2:$D$52)</f>
        <v>52058235.869999997</v>
      </c>
      <c r="I41" s="57">
        <f t="shared" ca="1" si="14"/>
        <v>5.9815900091390484E-2</v>
      </c>
      <c r="J41" s="42">
        <f>VLOOKUP(B41,'Input- EIA 2012 Generation Data'!$A$2:$G$52,4,FALSE)</f>
        <v>1298578.8999999999</v>
      </c>
      <c r="K41" s="28">
        <f t="shared" ca="1" si="6"/>
        <v>1376254.5657431877</v>
      </c>
      <c r="L41" s="28">
        <f t="shared" ca="1" si="16"/>
        <v>1458576.4713480021</v>
      </c>
      <c r="M41" s="28">
        <f t="shared" ca="1" si="16"/>
        <v>1545822.535833807</v>
      </c>
      <c r="N41" s="28">
        <f t="shared" ca="1" si="16"/>
        <v>1638287.3021962619</v>
      </c>
      <c r="O41" s="28">
        <f t="shared" ca="1" si="16"/>
        <v>1736282.9317854273</v>
      </c>
      <c r="P41" s="28">
        <f t="shared" ca="1" si="16"/>
        <v>1840140.258163491</v>
      </c>
      <c r="Q41" s="28">
        <f t="shared" ca="1" si="16"/>
        <v>1950209.903999944</v>
      </c>
      <c r="R41" s="28">
        <f t="shared" ca="1" si="16"/>
        <v>2066863.4647748449</v>
      </c>
      <c r="S41" s="28">
        <f t="shared" ca="1" si="16"/>
        <v>2190494.7632863624</v>
      </c>
      <c r="T41" s="28">
        <f t="shared" ca="1" si="16"/>
        <v>2321521.1791978134</v>
      </c>
      <c r="U41" s="28">
        <f t="shared" ca="1" si="16"/>
        <v>2460385.0581127568</v>
      </c>
      <c r="V41" s="28">
        <f t="shared" ca="1" si="16"/>
        <v>2607555.2049351796</v>
      </c>
      <c r="W41" s="28">
        <f t="shared" ca="1" si="16"/>
        <v>2763528.4665563675</v>
      </c>
      <c r="X41" s="24" t="s">
        <v>77</v>
      </c>
      <c r="Y41" s="28">
        <f t="shared" si="7"/>
        <v>1298578.8999999999</v>
      </c>
      <c r="Z41" s="42">
        <f t="shared" ca="1" si="8"/>
        <v>2157526.8533008448</v>
      </c>
      <c r="AA41" s="42">
        <f t="shared" ca="1" si="9"/>
        <v>2763528.4665563675</v>
      </c>
      <c r="AB41" s="42">
        <f t="shared" ca="1" si="10"/>
        <v>1846356.7721839938</v>
      </c>
      <c r="AC41" s="42">
        <f t="shared" ca="1" si="11"/>
        <v>2066863.4647748449</v>
      </c>
      <c r="AD41" s="90"/>
      <c r="AE41" s="91"/>
      <c r="AF41" s="91"/>
      <c r="AG41" s="91"/>
      <c r="AH41" s="91"/>
      <c r="AI41" s="91"/>
      <c r="AJ41" s="91"/>
      <c r="AK41" s="90"/>
      <c r="AL41" s="90"/>
      <c r="AM41" s="90"/>
      <c r="AN41" s="90"/>
      <c r="AP41" s="121"/>
      <c r="AQ41" s="121"/>
      <c r="AR41" s="121"/>
      <c r="AS41" s="121"/>
      <c r="AT41" s="121"/>
      <c r="AU41" s="121"/>
      <c r="AV41" s="121"/>
      <c r="AW41" s="121"/>
      <c r="AX41" s="121"/>
      <c r="AY41" s="121"/>
    </row>
    <row r="42" spans="1:51" x14ac:dyDescent="0.25">
      <c r="A42" s="24" t="s">
        <v>79</v>
      </c>
      <c r="B42" s="24" t="s">
        <v>25</v>
      </c>
      <c r="C42" s="30">
        <f>IF(VLOOKUP(A42,'Input - Effective RE Level'!$A$2:$B$52,2,FALSE)=0,"",VLOOKUP(A42,'Input - Effective RE Level'!$A$2:$B$52,2,FALSE))</f>
        <v>0.15</v>
      </c>
      <c r="D42" s="24" t="s">
        <v>118</v>
      </c>
      <c r="E42" s="60">
        <f t="shared" si="15"/>
        <v>0.20624999999999999</v>
      </c>
      <c r="F42" s="28">
        <f>E42*VLOOKUP(B42,'Input- EIA 2012 Generation Data'!$A$2:$H$52,8,FALSE)</f>
        <v>5734736.6216249987</v>
      </c>
      <c r="G42" s="28">
        <f>(SUMIF('Input- EIA 2012 Generation Data'!$B$2:$B$52,'Calc Method Using MWh'!D42,'Input- EIA 2012 Generation Data'!$H$2:$H$52)*AVERAGEIF($D$16:$D$66,D42,$E$16:$E$66))</f>
        <v>146877467.42893127</v>
      </c>
      <c r="H42" s="28">
        <f ca="1">SUMIF('Input- EIA 2012 Generation Data'!$B$2:$G$52,'Calc Method Using MWh'!D42,'Input- EIA 2012 Generation Data'!$D$2:$D$52)</f>
        <v>68065726.450000003</v>
      </c>
      <c r="I42" s="57">
        <f t="shared" ca="1" si="14"/>
        <v>6.094864111130982E-2</v>
      </c>
      <c r="J42" s="42">
        <f>VLOOKUP(B42,'Input- EIA 2012 Generation Data'!$A$2:$G$52,4,FALSE)</f>
        <v>1261752.22</v>
      </c>
      <c r="K42" s="28">
        <f t="shared" ca="1" si="6"/>
        <v>1338654.3032281783</v>
      </c>
      <c r="L42" s="28">
        <f t="shared" ca="1" si="16"/>
        <v>1420243.463927743</v>
      </c>
      <c r="M42" s="28">
        <f t="shared" ca="1" si="16"/>
        <v>1506805.3731013585</v>
      </c>
      <c r="N42" s="28">
        <f t="shared" ca="1" si="16"/>
        <v>1598643.1130111066</v>
      </c>
      <c r="O42" s="28">
        <f t="shared" ca="1" si="16"/>
        <v>1696078.2383710877</v>
      </c>
      <c r="P42" s="28">
        <f t="shared" ca="1" si="16"/>
        <v>1799451.9022182696</v>
      </c>
      <c r="Q42" s="28">
        <f t="shared" ca="1" si="16"/>
        <v>1909126.0504036348</v>
      </c>
      <c r="R42" s="28">
        <f t="shared" ca="1" si="16"/>
        <v>2025484.6888859384</v>
      </c>
      <c r="S42" s="28">
        <f t="shared" ca="1" si="16"/>
        <v>2148935.2282653004</v>
      </c>
      <c r="T42" s="28">
        <f t="shared" ca="1" si="16"/>
        <v>2279909.9102642927</v>
      </c>
      <c r="U42" s="28">
        <f t="shared" ca="1" si="16"/>
        <v>2418867.3211511099</v>
      </c>
      <c r="V42" s="28">
        <f t="shared" ca="1" si="16"/>
        <v>2566293.9974038242</v>
      </c>
      <c r="W42" s="28">
        <f t="shared" ca="1" si="16"/>
        <v>2722706.1292376984</v>
      </c>
      <c r="X42" s="24" t="s">
        <v>79</v>
      </c>
      <c r="Y42" s="28">
        <f t="shared" si="7"/>
        <v>1261752.22</v>
      </c>
      <c r="Z42" s="42">
        <f t="shared" ca="1" si="8"/>
        <v>2116549.6579212262</v>
      </c>
      <c r="AA42" s="42">
        <f t="shared" ca="1" si="9"/>
        <v>2722706.1292376984</v>
      </c>
      <c r="AB42" s="42">
        <f t="shared" ca="1" si="10"/>
        <v>1805756.7985780076</v>
      </c>
      <c r="AC42" s="42">
        <f t="shared" ca="1" si="11"/>
        <v>2025484.6888859384</v>
      </c>
      <c r="AD42" s="90"/>
      <c r="AE42" s="91"/>
      <c r="AF42" s="91"/>
      <c r="AG42" s="91"/>
      <c r="AH42" s="91"/>
      <c r="AI42" s="91"/>
      <c r="AJ42" s="91"/>
      <c r="AK42" s="90"/>
      <c r="AL42" s="90"/>
      <c r="AM42" s="90"/>
      <c r="AN42" s="90"/>
      <c r="AP42" s="121"/>
      <c r="AQ42" s="121"/>
      <c r="AR42" s="121"/>
      <c r="AS42" s="121"/>
      <c r="AT42" s="121"/>
      <c r="AU42" s="121"/>
      <c r="AV42" s="121"/>
      <c r="AW42" s="121"/>
      <c r="AX42" s="121"/>
      <c r="AY42" s="121"/>
    </row>
    <row r="43" spans="1:51" x14ac:dyDescent="0.25">
      <c r="A43" s="24" t="s">
        <v>82</v>
      </c>
      <c r="B43" s="24" t="s">
        <v>22</v>
      </c>
      <c r="C43" s="30" t="str">
        <f>IF(VLOOKUP(A43,'Input - Effective RE Level'!$A$2:$B$52,2,FALSE)=0,"",VLOOKUP(A43,'Input - Effective RE Level'!$A$2:$B$52,2,FALSE))</f>
        <v/>
      </c>
      <c r="D43" s="24" t="s">
        <v>119</v>
      </c>
      <c r="E43" s="60">
        <f t="shared" si="15"/>
        <v>0.2</v>
      </c>
      <c r="F43" s="28">
        <f>E43*VLOOKUP(B43,'Input- EIA 2012 Generation Data'!$A$2:$H$52,8,FALSE)</f>
        <v>6843458.5159999998</v>
      </c>
      <c r="G43" s="28">
        <f>(SUMIF('Input- EIA 2012 Generation Data'!$B$2:$B$52,'Calc Method Using MWh'!D43,'Input- EIA 2012 Generation Data'!$H$2:$H$52)*AVERAGEIF($D$16:$D$66,D43,$E$16:$E$66))</f>
        <v>150952893.01199996</v>
      </c>
      <c r="H43" s="28">
        <f ca="1">SUMIF('Input- EIA 2012 Generation Data'!$B$2:$G$52,'Calc Method Using MWh'!D43,'Input- EIA 2012 Generation Data'!$D$2:$D$52)</f>
        <v>53227248.009999998</v>
      </c>
      <c r="I43" s="57">
        <f t="shared" ca="1" si="14"/>
        <v>8.3486858853496049E-2</v>
      </c>
      <c r="J43" s="42">
        <f>VLOOKUP(B43,'Input- EIA 2012 Generation Data'!$A$2:$G$52,4,FALSE)</f>
        <v>1346761.78</v>
      </c>
      <c r="K43" s="28">
        <f t="shared" ca="1" si="6"/>
        <v>1459198.6906361431</v>
      </c>
      <c r="L43" s="28">
        <f t="shared" ca="1" si="16"/>
        <v>1581022.6057604891</v>
      </c>
      <c r="M43" s="28">
        <f t="shared" ca="1" si="16"/>
        <v>1713017.2168918017</v>
      </c>
      <c r="N43" s="28">
        <f t="shared" ca="1" si="16"/>
        <v>1856031.6434920561</v>
      </c>
      <c r="O43" s="28">
        <f t="shared" ca="1" si="16"/>
        <v>2010985.8953398997</v>
      </c>
      <c r="P43" s="28">
        <f t="shared" ca="1" si="16"/>
        <v>2178876.7909405134</v>
      </c>
      <c r="Q43" s="28">
        <f t="shared" ca="1" si="16"/>
        <v>2360784.3700449225</v>
      </c>
      <c r="R43" s="28">
        <f t="shared" ca="1" si="16"/>
        <v>2557878.8415304027</v>
      </c>
      <c r="S43" s="28">
        <f t="shared" ca="1" si="16"/>
        <v>2771428.1113375952</v>
      </c>
      <c r="T43" s="28">
        <f t="shared" ca="1" si="16"/>
        <v>3002805.9388914481</v>
      </c>
      <c r="U43" s="28">
        <f t="shared" ca="1" si="16"/>
        <v>3253500.7744761179</v>
      </c>
      <c r="V43" s="28">
        <f t="shared" ca="1" si="16"/>
        <v>3525125.3344145454</v>
      </c>
      <c r="W43" s="28">
        <f t="shared" ca="1" si="16"/>
        <v>3819426.9756496958</v>
      </c>
      <c r="X43" s="24" t="s">
        <v>82</v>
      </c>
      <c r="Y43" s="28">
        <f t="shared" si="7"/>
        <v>1346761.78</v>
      </c>
      <c r="Z43" s="42">
        <f t="shared" ca="1" si="8"/>
        <v>2733684.4676117199</v>
      </c>
      <c r="AA43" s="42">
        <f t="shared" ca="1" si="9"/>
        <v>3819426.9756496958</v>
      </c>
      <c r="AB43" s="42">
        <f t="shared" ca="1" si="10"/>
        <v>2192911.5082695587</v>
      </c>
      <c r="AC43" s="42">
        <f t="shared" ca="1" si="11"/>
        <v>2557878.8415304027</v>
      </c>
      <c r="AD43" s="90"/>
      <c r="AE43" s="91"/>
      <c r="AF43" s="91"/>
      <c r="AG43" s="91"/>
      <c r="AH43" s="91"/>
      <c r="AI43" s="91"/>
      <c r="AJ43" s="91"/>
      <c r="AK43" s="90"/>
      <c r="AL43" s="90"/>
      <c r="AM43" s="90"/>
      <c r="AN43" s="90"/>
      <c r="AP43" s="121"/>
      <c r="AQ43" s="121"/>
      <c r="AR43" s="121"/>
      <c r="AS43" s="121"/>
      <c r="AT43" s="121"/>
      <c r="AU43" s="121"/>
      <c r="AV43" s="121"/>
      <c r="AW43" s="121"/>
      <c r="AX43" s="121"/>
      <c r="AY43" s="121"/>
    </row>
    <row r="44" spans="1:51" x14ac:dyDescent="0.25">
      <c r="A44" s="24" t="s">
        <v>86</v>
      </c>
      <c r="B44" s="24" t="s">
        <v>18</v>
      </c>
      <c r="C44" s="30">
        <f>IF(VLOOKUP(A44,'Input - Effective RE Level'!$A$2:$B$52,2,FALSE)=0,"",VLOOKUP(A44,'Input - Effective RE Level'!$A$2:$B$52,2,FALSE))</f>
        <v>0.22</v>
      </c>
      <c r="D44" s="24" t="s">
        <v>118</v>
      </c>
      <c r="E44" s="60">
        <f t="shared" si="15"/>
        <v>0.20624999999999999</v>
      </c>
      <c r="F44" s="28">
        <f>E44*VLOOKUP(B44,'Input- EIA 2012 Generation Data'!$A$2:$H$52,8,FALSE)</f>
        <v>7254485.5350000001</v>
      </c>
      <c r="G44" s="28">
        <f>(SUMIF('Input- EIA 2012 Generation Data'!$B$2:$B$52,'Calc Method Using MWh'!D44,'Input- EIA 2012 Generation Data'!$H$2:$H$52)*AVERAGEIF($D$16:$D$66,D44,$E$16:$E$66))</f>
        <v>146877467.42893127</v>
      </c>
      <c r="H44" s="28">
        <f ca="1">SUMIF('Input- EIA 2012 Generation Data'!$B$2:$G$52,'Calc Method Using MWh'!D44,'Input- EIA 2012 Generation Data'!$D$2:$D$52)</f>
        <v>68065726.450000003</v>
      </c>
      <c r="I44" s="57">
        <f t="shared" ca="1" si="14"/>
        <v>6.094864111130982E-2</v>
      </c>
      <c r="J44" s="42">
        <f>VLOOKUP(B44,'Input- EIA 2012 Generation Data'!$A$2:$G$52,4,FALSE)</f>
        <v>2968630.3499999996</v>
      </c>
      <c r="K44" s="28">
        <f t="shared" ca="1" si="6"/>
        <v>3149564.3357942915</v>
      </c>
      <c r="L44" s="28">
        <f t="shared" ca="1" si="16"/>
        <v>3341526.0021535987</v>
      </c>
      <c r="M44" s="28">
        <f t="shared" ca="1" si="16"/>
        <v>3545187.4712229683</v>
      </c>
      <c r="N44" s="28">
        <f t="shared" ca="1" si="16"/>
        <v>3761261.8300788491</v>
      </c>
      <c r="O44" s="28">
        <f t="shared" ca="1" si="16"/>
        <v>3990505.6274859933</v>
      </c>
      <c r="P44" s="28">
        <f t="shared" ca="1" si="16"/>
        <v>4233721.5228282996</v>
      </c>
      <c r="Q44" s="28">
        <f t="shared" ca="1" si="16"/>
        <v>4491761.0964883901</v>
      </c>
      <c r="R44" s="28">
        <f t="shared" ca="1" si="16"/>
        <v>4765527.8315160042</v>
      </c>
      <c r="S44" s="28">
        <f t="shared" ca="1" si="16"/>
        <v>5055980.2770250319</v>
      </c>
      <c r="T44" s="28">
        <f t="shared" ca="1" si="16"/>
        <v>5364135.4043952916</v>
      </c>
      <c r="U44" s="28">
        <f t="shared" ca="1" si="16"/>
        <v>5691072.1680302508</v>
      </c>
      <c r="V44" s="28">
        <f t="shared" ca="1" si="16"/>
        <v>6037935.2831380907</v>
      </c>
      <c r="W44" s="28">
        <f t="shared" ca="1" si="16"/>
        <v>6405939.2337633893</v>
      </c>
      <c r="X44" s="24" t="s">
        <v>86</v>
      </c>
      <c r="Y44" s="28">
        <f t="shared" si="7"/>
        <v>2968630.3499999996</v>
      </c>
      <c r="Z44" s="42">
        <f t="shared" ca="1" si="8"/>
        <v>4979784.0274749594</v>
      </c>
      <c r="AA44" s="42">
        <f t="shared" ca="1" si="9"/>
        <v>6405939.2337633893</v>
      </c>
      <c r="AB44" s="42">
        <f t="shared" ca="1" si="10"/>
        <v>4248555.5816795072</v>
      </c>
      <c r="AC44" s="42">
        <f t="shared" ca="1" si="11"/>
        <v>4765527.8315160042</v>
      </c>
      <c r="AD44" s="90"/>
      <c r="AE44" s="91"/>
      <c r="AF44" s="91"/>
      <c r="AG44" s="91"/>
      <c r="AH44" s="91"/>
      <c r="AI44" s="91"/>
      <c r="AJ44" s="91"/>
      <c r="AK44" s="90"/>
      <c r="AL44" s="90"/>
      <c r="AM44" s="90"/>
      <c r="AN44" s="90"/>
      <c r="AP44" s="121"/>
      <c r="AQ44" s="121"/>
      <c r="AR44" s="121"/>
      <c r="AS44" s="121"/>
      <c r="AT44" s="121"/>
      <c r="AU44" s="121"/>
      <c r="AV44" s="121"/>
      <c r="AW44" s="121"/>
      <c r="AX44" s="121"/>
      <c r="AY44" s="121"/>
    </row>
    <row r="45" spans="1:51" x14ac:dyDescent="0.25">
      <c r="A45" s="24" t="s">
        <v>83</v>
      </c>
      <c r="B45" s="24" t="s">
        <v>21</v>
      </c>
      <c r="C45" s="30">
        <f>IF(VLOOKUP(A45,'Input - Effective RE Level'!$A$2:$B$52,2,FALSE)=0,"",VLOOKUP(A45,'Input - Effective RE Level'!$A$2:$B$52,2,FALSE))</f>
        <v>0.20300000000000001</v>
      </c>
      <c r="D45" s="24" t="s">
        <v>120</v>
      </c>
      <c r="E45" s="60">
        <f t="shared" si="15"/>
        <v>0.25031738739456966</v>
      </c>
      <c r="F45" s="28">
        <f>E45*VLOOKUP(B45,'Input- EIA 2012 Generation Data'!$A$2:$H$52,8,FALSE)</f>
        <v>4822223.0163039416</v>
      </c>
      <c r="G45" s="28">
        <f>(SUMIF('Input- EIA 2012 Generation Data'!$B$2:$B$52,'Calc Method Using MWh'!D45,'Input- EIA 2012 Generation Data'!$H$2:$H$52)*AVERAGEIF($D$16:$D$66,D45,$E$16:$E$66))</f>
        <v>64245372.586592935</v>
      </c>
      <c r="H45" s="28">
        <f ca="1">SUMIF('Input- EIA 2012 Generation Data'!$B$2:$G$52,'Calc Method Using MWh'!D45,'Input- EIA 2012 Generation Data'!$D$2:$D$52)</f>
        <v>13749515.33</v>
      </c>
      <c r="I45" s="57">
        <f t="shared" ca="1" si="14"/>
        <v>0.12591132996001231</v>
      </c>
      <c r="J45" s="42">
        <f>VLOOKUP(B45,'Input- EIA 2012 Generation Data'!$A$2:$G$52,4,FALSE)</f>
        <v>1381285.06</v>
      </c>
      <c r="K45" s="28">
        <f t="shared" ca="1" si="6"/>
        <v>1555204.4989584954</v>
      </c>
      <c r="L45" s="28">
        <f t="shared" ca="1" si="16"/>
        <v>1751022.3657821543</v>
      </c>
      <c r="M45" s="28">
        <f t="shared" ca="1" si="16"/>
        <v>1971495.9206475124</v>
      </c>
      <c r="N45" s="28">
        <f t="shared" ca="1" si="16"/>
        <v>2219729.5940269795</v>
      </c>
      <c r="O45" s="28">
        <f t="shared" ca="1" si="16"/>
        <v>2499218.6993625145</v>
      </c>
      <c r="P45" s="28">
        <f t="shared" ca="1" si="16"/>
        <v>2813898.6496601808</v>
      </c>
      <c r="Q45" s="28">
        <f t="shared" ca="1" si="16"/>
        <v>3168200.3710115771</v>
      </c>
      <c r="R45" s="28">
        <f t="shared" ca="1" si="16"/>
        <v>3567112.6933054491</v>
      </c>
      <c r="S45" s="28">
        <f t="shared" ca="1" si="16"/>
        <v>4016252.5966367796</v>
      </c>
      <c r="T45" s="28">
        <f t="shared" ca="1" si="16"/>
        <v>4521944.3025346696</v>
      </c>
      <c r="U45" s="28">
        <f t="shared" ca="1" si="16"/>
        <v>4822223.0163039416</v>
      </c>
      <c r="V45" s="28">
        <f t="shared" ca="1" si="16"/>
        <v>4822223.0163039416</v>
      </c>
      <c r="W45" s="28">
        <f t="shared" ca="1" si="16"/>
        <v>4822223.0163039416</v>
      </c>
      <c r="X45" s="24" t="s">
        <v>83</v>
      </c>
      <c r="Y45" s="28">
        <f t="shared" si="7"/>
        <v>1381285.06</v>
      </c>
      <c r="Z45" s="42">
        <f t="shared" ca="1" si="8"/>
        <v>3727302.5955449976</v>
      </c>
      <c r="AA45" s="42">
        <f t="shared" ca="1" si="9"/>
        <v>4822223.0163039416</v>
      </c>
      <c r="AB45" s="42">
        <f t="shared" ca="1" si="10"/>
        <v>2853632.0014733402</v>
      </c>
      <c r="AC45" s="42">
        <f t="shared" ca="1" si="11"/>
        <v>3567112.6933054491</v>
      </c>
      <c r="AD45" s="90"/>
      <c r="AE45" s="91"/>
      <c r="AF45" s="91"/>
      <c r="AG45" s="91"/>
      <c r="AH45" s="91"/>
      <c r="AI45" s="91"/>
      <c r="AJ45" s="91"/>
      <c r="AK45" s="90"/>
      <c r="AL45" s="90"/>
      <c r="AM45" s="90"/>
      <c r="AN45" s="90"/>
      <c r="AP45" s="121"/>
      <c r="AQ45" s="121"/>
      <c r="AR45" s="121"/>
      <c r="AS45" s="121"/>
      <c r="AT45" s="121"/>
      <c r="AU45" s="121"/>
      <c r="AV45" s="121"/>
      <c r="AW45" s="121"/>
      <c r="AX45" s="121"/>
      <c r="AY45" s="121"/>
    </row>
    <row r="46" spans="1:51" x14ac:dyDescent="0.25">
      <c r="A46" s="24" t="s">
        <v>84</v>
      </c>
      <c r="B46" s="24" t="s">
        <v>20</v>
      </c>
      <c r="C46" s="30">
        <f>IF(VLOOKUP(A46,'Input - Effective RE Level'!$A$2:$B$52,2,FALSE)=0,"",VLOOKUP(A46,'Input - Effective RE Level'!$A$2:$B$52,2,FALSE))</f>
        <v>0.21908999999999998</v>
      </c>
      <c r="D46" s="24" t="s">
        <v>121</v>
      </c>
      <c r="E46" s="60">
        <f t="shared" si="15"/>
        <v>0.15821500000000002</v>
      </c>
      <c r="F46" s="28">
        <f>E46*VLOOKUP(B46,'Input- EIA 2012 Generation Data'!$A$2:$H$52,8,FALSE)</f>
        <v>10325650.08880925</v>
      </c>
      <c r="G46" s="28">
        <f>(SUMIF('Input- EIA 2012 Generation Data'!$B$2:$B$52,'Calc Method Using MWh'!D46,'Input- EIA 2012 Generation Data'!$H$2:$H$52)*AVERAGEIF($D$16:$D$66,D46,$E$16:$E$66))</f>
        <v>96368237.239952162</v>
      </c>
      <c r="H46" s="28">
        <f ca="1">SUMIF('Input- EIA 2012 Generation Data'!$B$2:$G$52,'Calc Method Using MWh'!D46,'Input- EIA 2012 Generation Data'!$D$2:$D$52)</f>
        <v>12162663.629999999</v>
      </c>
      <c r="I46" s="57">
        <f t="shared" ca="1" si="14"/>
        <v>0.17259099671408151</v>
      </c>
      <c r="J46" s="42">
        <f>VLOOKUP(B46,'Input- EIA 2012 Generation Data'!$A$2:$G$52,4,FALSE)</f>
        <v>1280714.6399999999</v>
      </c>
      <c r="K46" s="28">
        <f t="shared" ca="1" si="6"/>
        <v>1501754.456223916</v>
      </c>
      <c r="L46" s="28">
        <f t="shared" ca="1" si="16"/>
        <v>1760943.7546434151</v>
      </c>
      <c r="M46" s="28">
        <f t="shared" ca="1" si="16"/>
        <v>2064866.7924147591</v>
      </c>
      <c r="N46" s="28">
        <f t="shared" ca="1" si="16"/>
        <v>2421244.2101994306</v>
      </c>
      <c r="O46" s="28">
        <f t="shared" ca="1" si="16"/>
        <v>2839129.1617259495</v>
      </c>
      <c r="P46" s="28">
        <f t="shared" ca="1" si="16"/>
        <v>3329137.2935482459</v>
      </c>
      <c r="Q46" s="28">
        <f t="shared" ca="1" si="16"/>
        <v>3903716.4172397573</v>
      </c>
      <c r="R46" s="28">
        <f t="shared" ca="1" si="16"/>
        <v>4577462.7245802898</v>
      </c>
      <c r="S46" s="28">
        <f t="shared" ca="1" si="16"/>
        <v>5367491.5786371576</v>
      </c>
      <c r="T46" s="28">
        <f t="shared" ca="1" si="16"/>
        <v>6293872.3000485832</v>
      </c>
      <c r="U46" s="28">
        <f t="shared" ca="1" si="16"/>
        <v>7380137.9935051166</v>
      </c>
      <c r="V46" s="28">
        <f t="shared" ca="1" si="16"/>
        <v>8653883.3656916264</v>
      </c>
      <c r="W46" s="28">
        <f t="shared" ca="1" si="16"/>
        <v>10147465.721223755</v>
      </c>
      <c r="X46" s="24" t="s">
        <v>84</v>
      </c>
      <c r="Y46" s="28">
        <f t="shared" si="7"/>
        <v>1280714.6399999999</v>
      </c>
      <c r="Z46" s="42">
        <f t="shared" ca="1" si="8"/>
        <v>5491354.0766399913</v>
      </c>
      <c r="AA46" s="42">
        <f t="shared" ca="1" si="9"/>
        <v>10147465.721223755</v>
      </c>
      <c r="AB46" s="42">
        <f t="shared" ca="1" si="10"/>
        <v>3414137.9614587342</v>
      </c>
      <c r="AC46" s="42">
        <f t="shared" ca="1" si="11"/>
        <v>4577462.7245802898</v>
      </c>
      <c r="AD46" s="90"/>
      <c r="AE46" s="91"/>
      <c r="AF46" s="91"/>
      <c r="AG46" s="91"/>
      <c r="AH46" s="91"/>
      <c r="AI46" s="91"/>
      <c r="AJ46" s="91"/>
      <c r="AK46" s="90"/>
      <c r="AL46" s="90"/>
      <c r="AM46" s="90"/>
      <c r="AN46" s="90"/>
      <c r="AP46" s="121"/>
      <c r="AQ46" s="121"/>
      <c r="AR46" s="121"/>
      <c r="AS46" s="121"/>
      <c r="AT46" s="121"/>
      <c r="AU46" s="121"/>
      <c r="AV46" s="121"/>
      <c r="AW46" s="121"/>
      <c r="AX46" s="121"/>
      <c r="AY46" s="121"/>
    </row>
    <row r="47" spans="1:51" x14ac:dyDescent="0.25">
      <c r="A47" s="24" t="s">
        <v>85</v>
      </c>
      <c r="B47" s="24" t="s">
        <v>19</v>
      </c>
      <c r="C47" s="30">
        <f>IF(VLOOKUP(A47,'Input - Effective RE Level'!$A$2:$B$52,2,FALSE)=0,"",VLOOKUP(A47,'Input - Effective RE Level'!$A$2:$B$52,2,FALSE))</f>
        <v>0.2</v>
      </c>
      <c r="D47" s="24" t="s">
        <v>118</v>
      </c>
      <c r="E47" s="60">
        <f t="shared" si="15"/>
        <v>0.20624999999999999</v>
      </c>
      <c r="F47" s="28">
        <f>E47*VLOOKUP(B47,'Input- EIA 2012 Generation Data'!$A$2:$H$52,8,FALSE)</f>
        <v>4721995.6329768756</v>
      </c>
      <c r="G47" s="28">
        <f>(SUMIF('Input- EIA 2012 Generation Data'!$B$2:$B$52,'Calc Method Using MWh'!D47,'Input- EIA 2012 Generation Data'!$H$2:$H$52)*AVERAGEIF($D$16:$D$66,D47,$E$16:$E$66))</f>
        <v>146877467.42893127</v>
      </c>
      <c r="H47" s="28">
        <f ca="1">SUMIF('Input- EIA 2012 Generation Data'!$B$2:$G$52,'Calc Method Using MWh'!D47,'Input- EIA 2012 Generation Data'!$D$2:$D$52)</f>
        <v>68065726.450000003</v>
      </c>
      <c r="I47" s="57">
        <f t="shared" ca="1" si="14"/>
        <v>6.094864111130982E-2</v>
      </c>
      <c r="J47" s="42">
        <f>VLOOKUP(B47,'Input- EIA 2012 Generation Data'!$A$2:$G$52,4,FALSE)</f>
        <v>2573851.31</v>
      </c>
      <c r="K47" s="28">
        <f t="shared" ca="1" si="6"/>
        <v>2730724.0497670649</v>
      </c>
      <c r="L47" s="28">
        <f t="shared" ca="1" si="16"/>
        <v>2897157.9698503404</v>
      </c>
      <c r="M47" s="28">
        <f t="shared" ca="1" si="16"/>
        <v>3073735.8111975198</v>
      </c>
      <c r="N47" s="28">
        <f t="shared" ca="1" si="16"/>
        <v>3261075.8320251782</v>
      </c>
      <c r="O47" s="28">
        <f t="shared" ca="1" si="16"/>
        <v>3459833.9725480471</v>
      </c>
      <c r="P47" s="28">
        <f t="shared" ca="1" si="16"/>
        <v>3670706.1516455952</v>
      </c>
      <c r="Q47" s="28">
        <f t="shared" ca="1" si="16"/>
        <v>3894430.70350732</v>
      </c>
      <c r="R47" s="28">
        <f t="shared" ca="1" si="16"/>
        <v>4131790.9627882536</v>
      </c>
      <c r="S47" s="28">
        <f t="shared" ca="1" si="16"/>
        <v>4383618.0073261885</v>
      </c>
      <c r="T47" s="28">
        <f t="shared" ca="1" si="16"/>
        <v>4650793.5680237878</v>
      </c>
      <c r="U47" s="28">
        <f t="shared" ca="1" si="16"/>
        <v>4721995.6329768756</v>
      </c>
      <c r="V47" s="28">
        <f t="shared" ca="1" si="16"/>
        <v>4721995.6329768756</v>
      </c>
      <c r="W47" s="28">
        <f t="shared" ca="1" si="16"/>
        <v>4721995.6329768756</v>
      </c>
      <c r="X47" s="24" t="s">
        <v>85</v>
      </c>
      <c r="Y47" s="28">
        <f t="shared" si="7"/>
        <v>2573851.31</v>
      </c>
      <c r="Z47" s="42">
        <f t="shared" ca="1" si="8"/>
        <v>4161823.6096794992</v>
      </c>
      <c r="AA47" s="42">
        <f t="shared" ca="1" si="9"/>
        <v>4721995.6329768756</v>
      </c>
      <c r="AB47" s="42">
        <f t="shared" ca="1" si="10"/>
        <v>3683567.5245028785</v>
      </c>
      <c r="AC47" s="42">
        <f t="shared" ca="1" si="11"/>
        <v>4131790.9627882536</v>
      </c>
      <c r="AD47" s="90"/>
      <c r="AE47" s="91"/>
      <c r="AF47" s="91"/>
      <c r="AG47" s="91"/>
      <c r="AH47" s="91"/>
      <c r="AI47" s="91"/>
      <c r="AJ47" s="91"/>
      <c r="AK47" s="90"/>
      <c r="AL47" s="90"/>
      <c r="AM47" s="90"/>
      <c r="AN47" s="90"/>
      <c r="AP47" s="121"/>
      <c r="AQ47" s="121"/>
      <c r="AR47" s="121"/>
      <c r="AS47" s="121"/>
      <c r="AT47" s="121"/>
      <c r="AU47" s="121"/>
      <c r="AV47" s="121"/>
      <c r="AW47" s="121"/>
      <c r="AX47" s="121"/>
      <c r="AY47" s="121"/>
    </row>
    <row r="48" spans="1:51" x14ac:dyDescent="0.25">
      <c r="A48" s="24" t="s">
        <v>87</v>
      </c>
      <c r="B48" s="24" t="s">
        <v>17</v>
      </c>
      <c r="C48" s="30">
        <f>IF(VLOOKUP(A48,'Input - Effective RE Level'!$A$2:$B$52,2,FALSE)=0,"",VLOOKUP(A48,'Input - Effective RE Level'!$A$2:$B$52,2,FALSE))</f>
        <v>0.28790432436741797</v>
      </c>
      <c r="D48" s="24" t="s">
        <v>120</v>
      </c>
      <c r="E48" s="60">
        <f t="shared" si="15"/>
        <v>0.25031738739456966</v>
      </c>
      <c r="F48" s="28">
        <f>E48*VLOOKUP(B48,'Input- EIA 2012 Generation Data'!$A$2:$H$52,8,FALSE)</f>
        <v>33985153.896469213</v>
      </c>
      <c r="G48" s="28">
        <f>(SUMIF('Input- EIA 2012 Generation Data'!$B$2:$B$52,'Calc Method Using MWh'!D48,'Input- EIA 2012 Generation Data'!$H$2:$H$52)*AVERAGEIF($D$16:$D$66,D48,$E$16:$E$66))</f>
        <v>64245372.586592935</v>
      </c>
      <c r="H48" s="28">
        <f ca="1">SUMIF('Input- EIA 2012 Generation Data'!$B$2:$G$52,'Calc Method Using MWh'!D48,'Input- EIA 2012 Generation Data'!$D$2:$D$52)</f>
        <v>13749515.33</v>
      </c>
      <c r="I48" s="57">
        <f t="shared" ca="1" si="14"/>
        <v>0.12591132996001231</v>
      </c>
      <c r="J48" s="42">
        <f>VLOOKUP(B48,'Input- EIA 2012 Generation Data'!$A$2:$G$52,4,FALSE)</f>
        <v>5192427.4399999995</v>
      </c>
      <c r="K48" s="28">
        <f t="shared" ca="1" si="6"/>
        <v>5846212.8846912617</v>
      </c>
      <c r="L48" s="28">
        <f t="shared" ca="1" si="16"/>
        <v>6582317.3242320986</v>
      </c>
      <c r="M48" s="28">
        <f t="shared" ca="1" si="16"/>
        <v>7411105.6527449917</v>
      </c>
      <c r="N48" s="28">
        <f t="shared" ca="1" si="16"/>
        <v>8344247.8219562788</v>
      </c>
      <c r="O48" s="28">
        <f t="shared" ca="1" si="16"/>
        <v>9394883.1627347302</v>
      </c>
      <c r="P48" s="28">
        <f t="shared" ca="1" si="16"/>
        <v>10577805.396573586</v>
      </c>
      <c r="Q48" s="28">
        <f t="shared" ca="1" si="16"/>
        <v>11909670.942114362</v>
      </c>
      <c r="R48" s="28">
        <f t="shared" ca="1" si="16"/>
        <v>13409233.449822094</v>
      </c>
      <c r="S48" s="28">
        <f t="shared" ca="1" si="16"/>
        <v>15097607.867233478</v>
      </c>
      <c r="T48" s="28">
        <f t="shared" ca="1" si="16"/>
        <v>16998567.753011588</v>
      </c>
      <c r="U48" s="28">
        <f t="shared" ca="1" si="16"/>
        <v>19138880.026208654</v>
      </c>
      <c r="V48" s="28">
        <f t="shared" ca="1" si="16"/>
        <v>21548681.8642537</v>
      </c>
      <c r="W48" s="28">
        <f t="shared" ca="1" si="16"/>
        <v>24261905.056667082</v>
      </c>
      <c r="X48" s="24" t="s">
        <v>87</v>
      </c>
      <c r="Y48" s="28">
        <f t="shared" si="7"/>
        <v>5192427.4399999995</v>
      </c>
      <c r="Z48" s="42">
        <f t="shared" ca="1" si="8"/>
        <v>15068148.334057555</v>
      </c>
      <c r="AA48" s="42">
        <f t="shared" ca="1" si="9"/>
        <v>24261905.056667082</v>
      </c>
      <c r="AB48" s="42">
        <f t="shared" ca="1" si="10"/>
        <v>10727168.154640209</v>
      </c>
      <c r="AC48" s="42">
        <f t="shared" ca="1" si="11"/>
        <v>13409233.449822094</v>
      </c>
      <c r="AD48" s="90"/>
      <c r="AE48" s="91"/>
      <c r="AF48" s="91"/>
      <c r="AG48" s="91"/>
      <c r="AH48" s="91"/>
      <c r="AI48" s="91"/>
      <c r="AJ48" s="91"/>
      <c r="AK48" s="90"/>
      <c r="AL48" s="90"/>
      <c r="AM48" s="90"/>
      <c r="AN48" s="90"/>
      <c r="AP48" s="121"/>
      <c r="AQ48" s="121"/>
      <c r="AR48" s="121"/>
      <c r="AS48" s="121"/>
      <c r="AT48" s="121"/>
      <c r="AU48" s="121"/>
      <c r="AV48" s="121"/>
      <c r="AW48" s="121"/>
      <c r="AX48" s="121"/>
      <c r="AY48" s="121"/>
    </row>
    <row r="49" spans="1:51" x14ac:dyDescent="0.25">
      <c r="A49" s="24" t="s">
        <v>80</v>
      </c>
      <c r="B49" s="24" t="s">
        <v>24</v>
      </c>
      <c r="C49" s="30">
        <f>IF(VLOOKUP(A49,'Input - Effective RE Level'!$A$2:$B$52,2,FALSE)=0,"",VLOOKUP(A49,'Input - Effective RE Level'!$A$2:$B$52,2,FALSE))</f>
        <v>0.1</v>
      </c>
      <c r="D49" s="24" t="s">
        <v>117</v>
      </c>
      <c r="E49" s="60">
        <f t="shared" si="15"/>
        <v>0.1</v>
      </c>
      <c r="F49" s="28">
        <f>E49*VLOOKUP(B49,'Input- EIA 2012 Generation Data'!$A$2:$H$52,8,FALSE)</f>
        <v>11668176.311000001</v>
      </c>
      <c r="G49" s="28">
        <f>(SUMIF('Input- EIA 2012 Generation Data'!$B$2:$B$52,'Calc Method Using MWh'!D49,'Input- EIA 2012 Generation Data'!$H$2:$H$52)*AVERAGEIF($D$16:$D$66,D49,$E$16:$E$66))</f>
        <v>93197688.003999993</v>
      </c>
      <c r="H49" s="28">
        <f ca="1">SUMIF('Input- EIA 2012 Generation Data'!$B$2:$G$52,'Calc Method Using MWh'!D49,'Input- EIA 2012 Generation Data'!$D$2:$D$52)</f>
        <v>18104807.379999999</v>
      </c>
      <c r="I49" s="57">
        <f t="shared" ca="1" si="14"/>
        <v>0.13432975769258282</v>
      </c>
      <c r="J49" s="42">
        <f>VLOOKUP(B49,'Input- EIA 2012 Generation Data'!$A$2:$G$52,4,FALSE)</f>
        <v>2703919.3200000003</v>
      </c>
      <c r="K49" s="28">
        <f t="shared" ca="1" si="6"/>
        <v>3067136.1470758938</v>
      </c>
      <c r="L49" s="28">
        <f t="shared" ca="1" si="16"/>
        <v>3479143.8025227608</v>
      </c>
      <c r="M49" s="28">
        <f t="shared" ca="1" si="16"/>
        <v>3946496.3464932945</v>
      </c>
      <c r="N49" s="28">
        <f t="shared" ca="1" si="16"/>
        <v>4476628.244452402</v>
      </c>
      <c r="O49" s="28">
        <f t="shared" ca="1" si="16"/>
        <v>5077972.6318094656</v>
      </c>
      <c r="P49" s="28">
        <f t="shared" ca="1" si="16"/>
        <v>5760095.4650099985</v>
      </c>
      <c r="Q49" s="28">
        <f t="shared" ca="1" si="16"/>
        <v>6533847.6931109373</v>
      </c>
      <c r="R49" s="28">
        <f t="shared" ca="1" si="16"/>
        <v>7411537.8705267711</v>
      </c>
      <c r="S49" s="28">
        <f t="shared" ca="1" si="16"/>
        <v>8407127.9568040334</v>
      </c>
      <c r="T49" s="28">
        <f t="shared" ca="1" si="16"/>
        <v>9536455.4181320574</v>
      </c>
      <c r="U49" s="28">
        <f t="shared" ca="1" si="16"/>
        <v>10817485.163695855</v>
      </c>
      <c r="V49" s="28">
        <f t="shared" ca="1" si="16"/>
        <v>11668176.311000001</v>
      </c>
      <c r="W49" s="28">
        <f t="shared" ca="1" si="16"/>
        <v>11668176.311000001</v>
      </c>
      <c r="X49" s="24" t="s">
        <v>80</v>
      </c>
      <c r="Y49" s="28">
        <f t="shared" si="7"/>
        <v>2703919.3200000003</v>
      </c>
      <c r="Z49" s="42">
        <f t="shared" ca="1" si="8"/>
        <v>8135750.3065541536</v>
      </c>
      <c r="AA49" s="42">
        <f t="shared" ca="1" si="9"/>
        <v>11668176.311000001</v>
      </c>
      <c r="AB49" s="42">
        <f t="shared" ca="1" si="10"/>
        <v>5852016.3809819156</v>
      </c>
      <c r="AC49" s="42">
        <f t="shared" ca="1" si="11"/>
        <v>7411537.8705267711</v>
      </c>
      <c r="AD49" s="90"/>
      <c r="AE49" s="91"/>
      <c r="AF49" s="91"/>
      <c r="AG49" s="91"/>
      <c r="AH49" s="91"/>
      <c r="AI49" s="91"/>
      <c r="AJ49" s="91"/>
      <c r="AK49" s="90"/>
      <c r="AL49" s="90"/>
      <c r="AM49" s="90"/>
      <c r="AN49" s="90"/>
      <c r="AP49" s="121"/>
      <c r="AQ49" s="121"/>
      <c r="AR49" s="121"/>
      <c r="AS49" s="121"/>
      <c r="AT49" s="121"/>
      <c r="AU49" s="121"/>
      <c r="AV49" s="121"/>
      <c r="AW49" s="121"/>
      <c r="AX49" s="121"/>
      <c r="AY49" s="121"/>
    </row>
    <row r="50" spans="1:51" x14ac:dyDescent="0.25">
      <c r="A50" s="24" t="s">
        <v>81</v>
      </c>
      <c r="B50" s="24" t="s">
        <v>23</v>
      </c>
      <c r="C50" s="30" t="str">
        <f>IF(VLOOKUP(A50,'Input - Effective RE Level'!$A$2:$B$52,2,FALSE)=0,"",VLOOKUP(A50,'Input - Effective RE Level'!$A$2:$B$52,2,FALSE))</f>
        <v/>
      </c>
      <c r="D50" s="24" t="s">
        <v>122</v>
      </c>
      <c r="E50" s="60">
        <f t="shared" si="15"/>
        <v>0.15114</v>
      </c>
      <c r="F50" s="28">
        <f>E50*VLOOKUP(B50,'Input- EIA 2012 Generation Data'!$A$2:$H$52,8,FALSE)</f>
        <v>5459956.5101004001</v>
      </c>
      <c r="G50" s="28">
        <f>(SUMIF('Input- EIA 2012 Generation Data'!$B$2:$B$52,'Calc Method Using MWh'!D50,'Input- EIA 2012 Generation Data'!$H$2:$H$52)*AVERAGEIF($D$16:$D$66,D50,$E$16:$E$66))</f>
        <v>110786042.14611122</v>
      </c>
      <c r="H50" s="28">
        <f ca="1">SUMIF('Input- EIA 2012 Generation Data'!$B$2:$G$52,'Calc Method Using MWh'!D50,'Input- EIA 2012 Generation Data'!$D$2:$D$52)</f>
        <v>52058235.869999997</v>
      </c>
      <c r="I50" s="57">
        <f t="shared" ca="1" si="14"/>
        <v>5.9815900091390484E-2</v>
      </c>
      <c r="J50" s="42">
        <f>VLOOKUP(B50,'Input- EIA 2012 Generation Data'!$A$2:$G$52,4,FALSE)</f>
        <v>5280052</v>
      </c>
      <c r="K50" s="28">
        <f t="shared" ca="1" si="6"/>
        <v>5459956.5101004001</v>
      </c>
      <c r="L50" s="28">
        <f t="shared" ref="L50:W65" ca="1" si="17">MIN(K50*(1+$I50),$F50)</f>
        <v>5459956.5101004001</v>
      </c>
      <c r="M50" s="28">
        <f t="shared" ca="1" si="17"/>
        <v>5459956.5101004001</v>
      </c>
      <c r="N50" s="28">
        <f t="shared" ca="1" si="17"/>
        <v>5459956.5101004001</v>
      </c>
      <c r="O50" s="28">
        <f t="shared" ca="1" si="17"/>
        <v>5459956.5101004001</v>
      </c>
      <c r="P50" s="28">
        <f t="shared" ca="1" si="17"/>
        <v>5459956.5101004001</v>
      </c>
      <c r="Q50" s="28">
        <f t="shared" ca="1" si="17"/>
        <v>5459956.5101004001</v>
      </c>
      <c r="R50" s="28">
        <f t="shared" ca="1" si="17"/>
        <v>5459956.5101004001</v>
      </c>
      <c r="S50" s="28">
        <f t="shared" ca="1" si="17"/>
        <v>5459956.5101004001</v>
      </c>
      <c r="T50" s="28">
        <f t="shared" ca="1" si="17"/>
        <v>5459956.5101004001</v>
      </c>
      <c r="U50" s="28">
        <f t="shared" ca="1" si="17"/>
        <v>5459956.5101004001</v>
      </c>
      <c r="V50" s="28">
        <f t="shared" ca="1" si="17"/>
        <v>5459956.5101004001</v>
      </c>
      <c r="W50" s="28">
        <f t="shared" ca="1" si="17"/>
        <v>5459956.5101004001</v>
      </c>
      <c r="X50" s="24" t="s">
        <v>81</v>
      </c>
      <c r="Y50" s="28">
        <f t="shared" si="7"/>
        <v>5280052</v>
      </c>
      <c r="Z50" s="42">
        <f t="shared" ca="1" si="8"/>
        <v>5459956.510100401</v>
      </c>
      <c r="AA50" s="42">
        <f t="shared" ca="1" si="9"/>
        <v>5459956.5101004001</v>
      </c>
      <c r="AB50" s="42">
        <f t="shared" ca="1" si="10"/>
        <v>5459956.5101004001</v>
      </c>
      <c r="AC50" s="42">
        <f t="shared" ca="1" si="11"/>
        <v>5459956.5101004001</v>
      </c>
      <c r="AD50" s="90"/>
      <c r="AE50" s="91"/>
      <c r="AF50" s="91"/>
      <c r="AG50" s="91"/>
      <c r="AH50" s="91"/>
      <c r="AI50" s="91"/>
      <c r="AJ50" s="91"/>
      <c r="AK50" s="90"/>
      <c r="AL50" s="90"/>
      <c r="AM50" s="90"/>
      <c r="AN50" s="90"/>
      <c r="AP50" s="121"/>
      <c r="AQ50" s="121"/>
      <c r="AR50" s="121"/>
      <c r="AS50" s="121"/>
      <c r="AT50" s="121"/>
      <c r="AU50" s="121"/>
      <c r="AV50" s="121"/>
      <c r="AW50" s="121"/>
      <c r="AX50" s="121"/>
      <c r="AY50" s="121"/>
    </row>
    <row r="51" spans="1:51" x14ac:dyDescent="0.25">
      <c r="A51" s="24" t="s">
        <v>88</v>
      </c>
      <c r="B51" s="24" t="s">
        <v>16</v>
      </c>
      <c r="C51" s="30">
        <f>IF(VLOOKUP(A51,'Input - Effective RE Level'!$A$2:$B$52,2,FALSE)=0,"",VLOOKUP(A51,'Input - Effective RE Level'!$A$2:$B$52,2,FALSE))</f>
        <v>8.5000000000000006E-2</v>
      </c>
      <c r="D51" s="24" t="s">
        <v>121</v>
      </c>
      <c r="E51" s="60">
        <f t="shared" si="15"/>
        <v>0.15821500000000002</v>
      </c>
      <c r="F51" s="28">
        <f>E51*VLOOKUP(B51,'Input- EIA 2012 Generation Data'!$A$2:$H$52,8,FALSE)</f>
        <v>20527720.768461157</v>
      </c>
      <c r="G51" s="28">
        <f>(SUMIF('Input- EIA 2012 Generation Data'!$B$2:$B$52,'Calc Method Using MWh'!D51,'Input- EIA 2012 Generation Data'!$H$2:$H$52)*AVERAGEIF($D$16:$D$66,D51,$E$16:$E$66))</f>
        <v>96368237.239952162</v>
      </c>
      <c r="H51" s="28">
        <f ca="1">SUMIF('Input- EIA 2012 Generation Data'!$B$2:$G$52,'Calc Method Using MWh'!D51,'Input- EIA 2012 Generation Data'!$D$2:$D$52)</f>
        <v>12162663.629999999</v>
      </c>
      <c r="I51" s="57">
        <f t="shared" ca="1" si="14"/>
        <v>0.17259099671408151</v>
      </c>
      <c r="J51" s="42">
        <f>VLOOKUP(B51,'Input- EIA 2012 Generation Data'!$A$2:$G$52,4,FALSE)</f>
        <v>1738621.75</v>
      </c>
      <c r="K51" s="28">
        <f t="shared" ca="1" si="6"/>
        <v>2038692.2107412806</v>
      </c>
      <c r="L51" s="28">
        <f t="shared" ca="1" si="17"/>
        <v>2390552.1313863527</v>
      </c>
      <c r="M51" s="28">
        <f t="shared" ca="1" si="17"/>
        <v>2803139.906439295</v>
      </c>
      <c r="N51" s="28">
        <f t="shared" ca="1" si="17"/>
        <v>3286936.6168206702</v>
      </c>
      <c r="O51" s="28">
        <f t="shared" ca="1" si="17"/>
        <v>3854232.2836537608</v>
      </c>
      <c r="P51" s="28">
        <f t="shared" ca="1" si="17"/>
        <v>4519438.0750571536</v>
      </c>
      <c r="Q51" s="28">
        <f t="shared" ca="1" si="17"/>
        <v>5299452.3970188377</v>
      </c>
      <c r="R51" s="28">
        <f t="shared" ca="1" si="17"/>
        <v>6214090.1682591476</v>
      </c>
      <c r="S51" s="28">
        <f t="shared" ca="1" si="17"/>
        <v>7286586.1840701681</v>
      </c>
      <c r="T51" s="28">
        <f t="shared" ca="1" si="17"/>
        <v>8544185.3562218938</v>
      </c>
      <c r="U51" s="28">
        <f t="shared" ca="1" si="17"/>
        <v>10018834.82296209</v>
      </c>
      <c r="V51" s="28">
        <f t="shared" ca="1" si="17"/>
        <v>11747995.510970866</v>
      </c>
      <c r="W51" s="28">
        <f t="shared" ca="1" si="17"/>
        <v>13775593.765601883</v>
      </c>
      <c r="X51" s="24" t="s">
        <v>88</v>
      </c>
      <c r="Y51" s="28">
        <f t="shared" si="7"/>
        <v>1738621.75</v>
      </c>
      <c r="Z51" s="42">
        <f t="shared" ca="1" si="8"/>
        <v>7454734.5180636477</v>
      </c>
      <c r="AA51" s="42">
        <f t="shared" ca="1" si="9"/>
        <v>13775593.765601883</v>
      </c>
      <c r="AB51" s="42">
        <f t="shared" ca="1" si="10"/>
        <v>4634829.908161914</v>
      </c>
      <c r="AC51" s="42">
        <f t="shared" ca="1" si="11"/>
        <v>6214090.1682591476</v>
      </c>
      <c r="AD51" s="90"/>
      <c r="AE51" s="91"/>
      <c r="AF51" s="91"/>
      <c r="AG51" s="91"/>
      <c r="AH51" s="91"/>
      <c r="AI51" s="91"/>
      <c r="AJ51" s="91"/>
      <c r="AK51" s="90"/>
      <c r="AL51" s="90"/>
      <c r="AM51" s="90"/>
      <c r="AN51" s="90"/>
      <c r="AP51" s="121"/>
      <c r="AQ51" s="121"/>
      <c r="AR51" s="121"/>
      <c r="AS51" s="121"/>
      <c r="AT51" s="121"/>
      <c r="AU51" s="121"/>
      <c r="AV51" s="121"/>
      <c r="AW51" s="121"/>
      <c r="AX51" s="121"/>
      <c r="AY51" s="121"/>
    </row>
    <row r="52" spans="1:51" x14ac:dyDescent="0.25">
      <c r="A52" s="24" t="s">
        <v>89</v>
      </c>
      <c r="B52" s="24" t="s">
        <v>15</v>
      </c>
      <c r="C52" s="30" t="str">
        <f>IF(VLOOKUP(A52,'Input - Effective RE Level'!$A$2:$B$52,2,FALSE)=0,"",VLOOKUP(A52,'Input - Effective RE Level'!$A$2:$B$52,2,FALSE))</f>
        <v/>
      </c>
      <c r="D52" s="24" t="s">
        <v>119</v>
      </c>
      <c r="E52" s="60">
        <f t="shared" si="15"/>
        <v>0.2</v>
      </c>
      <c r="F52" s="28">
        <f>E52*VLOOKUP(B52,'Input- EIA 2012 Generation Data'!$A$2:$H$52,8,FALSE)</f>
        <v>15579317.626</v>
      </c>
      <c r="G52" s="28">
        <f>(SUMIF('Input- EIA 2012 Generation Data'!$B$2:$B$52,'Calc Method Using MWh'!D52,'Input- EIA 2012 Generation Data'!$H$2:$H$52)*AVERAGEIF($D$16:$D$66,D52,$E$16:$E$66))</f>
        <v>150952893.01199996</v>
      </c>
      <c r="H52" s="28">
        <f ca="1">SUMIF('Input- EIA 2012 Generation Data'!$B$2:$G$52,'Calc Method Using MWh'!D52,'Input- EIA 2012 Generation Data'!$D$2:$D$52)</f>
        <v>53227248.009999998</v>
      </c>
      <c r="I52" s="57">
        <f t="shared" ca="1" si="14"/>
        <v>8.3486858853496049E-2</v>
      </c>
      <c r="J52" s="42">
        <f>VLOOKUP(B52,'Input- EIA 2012 Generation Data'!$A$2:$G$52,4,FALSE)</f>
        <v>8520724.0499999989</v>
      </c>
      <c r="K52" s="28">
        <f t="shared" ca="1" si="6"/>
        <v>9232092.5360919386</v>
      </c>
      <c r="L52" s="28">
        <f t="shared" ca="1" si="17"/>
        <v>10002850.94257506</v>
      </c>
      <c r="M52" s="28">
        <f t="shared" ca="1" si="17"/>
        <v>10837957.547350384</v>
      </c>
      <c r="N52" s="28">
        <f t="shared" ca="1" si="17"/>
        <v>11742784.579366207</v>
      </c>
      <c r="O52" s="28">
        <f t="shared" ca="1" si="17"/>
        <v>12723152.778090764</v>
      </c>
      <c r="P52" s="28">
        <f t="shared" ca="1" si="17"/>
        <v>13785368.838246694</v>
      </c>
      <c r="Q52" s="28">
        <f t="shared" ca="1" si="17"/>
        <v>14936265.980688779</v>
      </c>
      <c r="R52" s="28">
        <f t="shared" ca="1" si="17"/>
        <v>15579317.626</v>
      </c>
      <c r="S52" s="28">
        <f t="shared" ca="1" si="17"/>
        <v>15579317.626</v>
      </c>
      <c r="T52" s="28">
        <f t="shared" ca="1" si="17"/>
        <v>15579317.626</v>
      </c>
      <c r="U52" s="28">
        <f t="shared" ca="1" si="17"/>
        <v>15579317.626</v>
      </c>
      <c r="V52" s="28">
        <f t="shared" ca="1" si="17"/>
        <v>15579317.626</v>
      </c>
      <c r="W52" s="28">
        <f t="shared" ca="1" si="17"/>
        <v>15579317.626</v>
      </c>
      <c r="X52" s="24" t="s">
        <v>89</v>
      </c>
      <c r="Y52" s="28">
        <f t="shared" si="7"/>
        <v>8520724.0499999989</v>
      </c>
      <c r="Z52" s="42">
        <f t="shared" ca="1" si="8"/>
        <v>14666347.793239245</v>
      </c>
      <c r="AA52" s="42">
        <f t="shared" ca="1" si="9"/>
        <v>15579317.626</v>
      </c>
      <c r="AB52" s="42">
        <f t="shared" ca="1" si="10"/>
        <v>13753377.960478488</v>
      </c>
      <c r="AC52" s="42">
        <f t="shared" ca="1" si="11"/>
        <v>15579317.626</v>
      </c>
      <c r="AD52" s="90"/>
      <c r="AE52" s="91"/>
      <c r="AF52" s="91"/>
      <c r="AG52" s="91"/>
      <c r="AH52" s="91"/>
      <c r="AI52" s="91"/>
      <c r="AJ52" s="91"/>
      <c r="AK52" s="90"/>
      <c r="AL52" s="90"/>
      <c r="AM52" s="90"/>
      <c r="AN52" s="90"/>
      <c r="AP52" s="121"/>
      <c r="AQ52" s="121"/>
      <c r="AR52" s="121"/>
      <c r="AS52" s="121"/>
      <c r="AT52" s="121"/>
      <c r="AU52" s="121"/>
      <c r="AV52" s="121"/>
      <c r="AW52" s="121"/>
      <c r="AX52" s="121"/>
      <c r="AY52" s="121"/>
    </row>
    <row r="53" spans="1:51" x14ac:dyDescent="0.25">
      <c r="A53" s="24" t="s">
        <v>90</v>
      </c>
      <c r="B53" s="24" t="s">
        <v>14</v>
      </c>
      <c r="C53" s="30">
        <f>IF(VLOOKUP(A53,'Input - Effective RE Level'!$A$2:$B$52,2,FALSE)=0,"",VLOOKUP(A53,'Input - Effective RE Level'!$A$2:$B$52,2,FALSE))</f>
        <v>0.2</v>
      </c>
      <c r="D53" s="24" t="s">
        <v>118</v>
      </c>
      <c r="E53" s="60">
        <f t="shared" si="15"/>
        <v>0.20624999999999999</v>
      </c>
      <c r="F53" s="28">
        <f>E53*VLOOKUP(B53,'Input- EIA 2012 Generation Data'!$A$2:$H$52,8,FALSE)</f>
        <v>12567372.3718125</v>
      </c>
      <c r="G53" s="28">
        <f>(SUMIF('Input- EIA 2012 Generation Data'!$B$2:$B$52,'Calc Method Using MWh'!D53,'Input- EIA 2012 Generation Data'!$H$2:$H$52)*AVERAGEIF($D$16:$D$66,D53,$E$16:$E$66))</f>
        <v>146877467.42893127</v>
      </c>
      <c r="H53" s="28">
        <f ca="1">SUMIF('Input- EIA 2012 Generation Data'!$B$2:$G$52,'Calc Method Using MWh'!D53,'Input- EIA 2012 Generation Data'!$D$2:$D$52)</f>
        <v>68065726.450000003</v>
      </c>
      <c r="I53" s="57">
        <f t="shared" ca="1" si="14"/>
        <v>6.094864111130982E-2</v>
      </c>
      <c r="J53" s="42">
        <f>VLOOKUP(B53,'Input- EIA 2012 Generation Data'!$A$2:$G$52,4,FALSE)</f>
        <v>7207229.3700000001</v>
      </c>
      <c r="K53" s="28">
        <f t="shared" ca="1" si="6"/>
        <v>7646500.2062790217</v>
      </c>
      <c r="L53" s="28">
        <f t="shared" ca="1" si="17"/>
        <v>8112544.0031090779</v>
      </c>
      <c r="M53" s="28">
        <f t="shared" ca="1" si="17"/>
        <v>8606992.5360542815</v>
      </c>
      <c r="N53" s="28">
        <f t="shared" ca="1" si="17"/>
        <v>9131577.0351819769</v>
      </c>
      <c r="O53" s="28">
        <f t="shared" ca="1" si="17"/>
        <v>9688134.2466795612</v>
      </c>
      <c r="P53" s="28">
        <f t="shared" ca="1" si="17"/>
        <v>10278612.863918623</v>
      </c>
      <c r="Q53" s="28">
        <f t="shared" ca="1" si="17"/>
        <v>10905080.350483691</v>
      </c>
      <c r="R53" s="28">
        <f t="shared" ca="1" si="17"/>
        <v>11569730.179055318</v>
      </c>
      <c r="S53" s="28">
        <f t="shared" ca="1" si="17"/>
        <v>12274889.511493251</v>
      </c>
      <c r="T53" s="28">
        <f t="shared" ca="1" si="17"/>
        <v>12567372.3718125</v>
      </c>
      <c r="U53" s="28">
        <f t="shared" ca="1" si="17"/>
        <v>12567372.3718125</v>
      </c>
      <c r="V53" s="28">
        <f t="shared" ca="1" si="17"/>
        <v>12567372.3718125</v>
      </c>
      <c r="W53" s="28">
        <f t="shared" ca="1" si="17"/>
        <v>12567372.3718125</v>
      </c>
      <c r="X53" s="24" t="s">
        <v>90</v>
      </c>
      <c r="Y53" s="28">
        <f t="shared" si="7"/>
        <v>7207229.3700000001</v>
      </c>
      <c r="Z53" s="42">
        <f t="shared" ca="1" si="8"/>
        <v>11411751.36740624</v>
      </c>
      <c r="AA53" s="42">
        <f t="shared" ca="1" si="9"/>
        <v>12567372.3718125</v>
      </c>
      <c r="AB53" s="42">
        <f t="shared" ca="1" si="10"/>
        <v>10314626.935063835</v>
      </c>
      <c r="AC53" s="42">
        <f t="shared" ca="1" si="11"/>
        <v>11569730.179055318</v>
      </c>
      <c r="AD53" s="90"/>
      <c r="AE53" s="91"/>
      <c r="AF53" s="91"/>
      <c r="AG53" s="91"/>
      <c r="AH53" s="91"/>
      <c r="AI53" s="91"/>
      <c r="AJ53" s="91"/>
      <c r="AK53" s="90"/>
      <c r="AL53" s="90"/>
      <c r="AM53" s="90"/>
      <c r="AN53" s="90"/>
      <c r="AP53" s="121"/>
      <c r="AQ53" s="121"/>
      <c r="AR53" s="121"/>
      <c r="AS53" s="121"/>
      <c r="AT53" s="121"/>
      <c r="AU53" s="121"/>
      <c r="AV53" s="121"/>
      <c r="AW53" s="121"/>
      <c r="AX53" s="121"/>
      <c r="AY53" s="121"/>
    </row>
    <row r="54" spans="1:51" x14ac:dyDescent="0.25">
      <c r="A54" s="24" t="s">
        <v>91</v>
      </c>
      <c r="B54" s="24" t="s">
        <v>13</v>
      </c>
      <c r="C54" s="30">
        <f>IF(VLOOKUP(A54,'Input - Effective RE Level'!$A$2:$B$52,2,FALSE)=0,"",VLOOKUP(A54,'Input - Effective RE Level'!$A$2:$B$52,2,FALSE))</f>
        <v>7.5200000000000017E-2</v>
      </c>
      <c r="D54" s="24" t="s">
        <v>121</v>
      </c>
      <c r="E54" s="60">
        <f t="shared" si="15"/>
        <v>0.15821500000000002</v>
      </c>
      <c r="F54" s="28">
        <f>E54*VLOOKUP(B54,'Input- EIA 2012 Generation Data'!$A$2:$H$52,8,FALSE)</f>
        <v>35348350.284668207</v>
      </c>
      <c r="G54" s="28">
        <f>(SUMIF('Input- EIA 2012 Generation Data'!$B$2:$B$52,'Calc Method Using MWh'!D54,'Input- EIA 2012 Generation Data'!$H$2:$H$52)*AVERAGEIF($D$16:$D$66,D54,$E$16:$E$66))</f>
        <v>96368237.239952162</v>
      </c>
      <c r="H54" s="28">
        <f ca="1">SUMIF('Input- EIA 2012 Generation Data'!$B$2:$G$52,'Calc Method Using MWh'!D54,'Input- EIA 2012 Generation Data'!$D$2:$D$52)</f>
        <v>12162663.629999999</v>
      </c>
      <c r="I54" s="57">
        <f t="shared" ca="1" si="14"/>
        <v>0.17259099671408151</v>
      </c>
      <c r="J54" s="42">
        <f>VLOOKUP(B54,'Input- EIA 2012 Generation Data'!$A$2:$G$52,4,FALSE)</f>
        <v>4459117.6100000003</v>
      </c>
      <c r="K54" s="28">
        <f t="shared" ca="1" si="6"/>
        <v>5228721.1627752138</v>
      </c>
      <c r="L54" s="28">
        <f t="shared" ca="1" si="17"/>
        <v>6131151.359798599</v>
      </c>
      <c r="M54" s="28">
        <f t="shared" ca="1" si="17"/>
        <v>7189332.8839911353</v>
      </c>
      <c r="N54" s="28">
        <f t="shared" ca="1" si="17"/>
        <v>8430147.0121484883</v>
      </c>
      <c r="O54" s="28">
        <f t="shared" ca="1" si="17"/>
        <v>9885114.4874214325</v>
      </c>
      <c r="P54" s="28">
        <f t="shared" ca="1" si="17"/>
        <v>11591196.249438304</v>
      </c>
      <c r="Q54" s="28">
        <f t="shared" ca="1" si="17"/>
        <v>13591732.363237385</v>
      </c>
      <c r="R54" s="28">
        <f t="shared" ca="1" si="17"/>
        <v>15937542.998879563</v>
      </c>
      <c r="S54" s="28">
        <f t="shared" ca="1" si="17"/>
        <v>18688219.43022972</v>
      </c>
      <c r="T54" s="28">
        <f t="shared" ca="1" si="17"/>
        <v>21913637.848504532</v>
      </c>
      <c r="U54" s="28">
        <f t="shared" ca="1" si="17"/>
        <v>25695734.446409348</v>
      </c>
      <c r="V54" s="28">
        <f t="shared" ca="1" si="17"/>
        <v>30130586.865815494</v>
      </c>
      <c r="W54" s="28">
        <f t="shared" ca="1" si="17"/>
        <v>35330854.884566806</v>
      </c>
      <c r="X54" s="24" t="s">
        <v>91</v>
      </c>
      <c r="Y54" s="28">
        <f t="shared" si="7"/>
        <v>4459117.6100000003</v>
      </c>
      <c r="Z54" s="42">
        <f t="shared" ca="1" si="8"/>
        <v>19119476.658665109</v>
      </c>
      <c r="AA54" s="42">
        <f t="shared" ca="1" si="9"/>
        <v>35330854.884566806</v>
      </c>
      <c r="AB54" s="42">
        <f t="shared" ca="1" si="10"/>
        <v>11887146.622225035</v>
      </c>
      <c r="AC54" s="42">
        <f t="shared" ca="1" si="11"/>
        <v>15937542.998879563</v>
      </c>
      <c r="AD54" s="90"/>
      <c r="AE54" s="91"/>
      <c r="AF54" s="91"/>
      <c r="AG54" s="91"/>
      <c r="AH54" s="91"/>
      <c r="AI54" s="91"/>
      <c r="AJ54" s="91"/>
      <c r="AK54" s="90"/>
      <c r="AL54" s="90"/>
      <c r="AM54" s="90"/>
      <c r="AN54" s="90"/>
      <c r="AP54" s="121"/>
      <c r="AQ54" s="121"/>
      <c r="AR54" s="121"/>
      <c r="AS54" s="121"/>
      <c r="AT54" s="121"/>
      <c r="AU54" s="121"/>
      <c r="AV54" s="121"/>
      <c r="AW54" s="121"/>
      <c r="AX54" s="121"/>
      <c r="AY54" s="121"/>
    </row>
    <row r="55" spans="1:51" x14ac:dyDescent="0.25">
      <c r="A55" s="24" t="s">
        <v>92</v>
      </c>
      <c r="B55" s="24" t="s">
        <v>12</v>
      </c>
      <c r="C55" s="30">
        <f>IF(VLOOKUP(A55,'Input - Effective RE Level'!$A$2:$B$52,2,FALSE)=0,"",VLOOKUP(A55,'Input - Effective RE Level'!$A$2:$B$52,2,FALSE))</f>
        <v>0.16</v>
      </c>
      <c r="D55" s="24" t="s">
        <v>120</v>
      </c>
      <c r="E55" s="60">
        <f t="shared" si="15"/>
        <v>0.25031738739456966</v>
      </c>
      <c r="F55" s="28">
        <f>E55*VLOOKUP(B55,'Input- EIA 2012 Generation Data'!$A$2:$H$52,8,FALSE)</f>
        <v>2079896.1407334697</v>
      </c>
      <c r="G55" s="28">
        <f>(SUMIF('Input- EIA 2012 Generation Data'!$B$2:$B$52,'Calc Method Using MWh'!D55,'Input- EIA 2012 Generation Data'!$H$2:$H$52)*AVERAGEIF($D$16:$D$66,D55,$E$16:$E$66))</f>
        <v>64245372.586592935</v>
      </c>
      <c r="H55" s="28">
        <f ca="1">SUMIF('Input- EIA 2012 Generation Data'!$B$2:$G$52,'Calc Method Using MWh'!D55,'Input- EIA 2012 Generation Data'!$D$2:$D$52)</f>
        <v>13749515.33</v>
      </c>
      <c r="I55" s="57">
        <f t="shared" ca="1" si="14"/>
        <v>0.12591132996001231</v>
      </c>
      <c r="J55" s="42">
        <f>VLOOKUP(B55,'Input- EIA 2012 Generation Data'!$A$2:$G$52,4,FALSE)</f>
        <v>101895</v>
      </c>
      <c r="K55" s="28">
        <f t="shared" ca="1" si="6"/>
        <v>114724.73496627546</v>
      </c>
      <c r="L55" s="28">
        <f t="shared" ca="1" si="17"/>
        <v>129169.87892518913</v>
      </c>
      <c r="M55" s="28">
        <f t="shared" ca="1" si="17"/>
        <v>145433.83017143345</v>
      </c>
      <c r="N55" s="28">
        <f t="shared" ca="1" si="17"/>
        <v>163745.59714949719</v>
      </c>
      <c r="O55" s="28">
        <f t="shared" ca="1" si="17"/>
        <v>184363.02306168678</v>
      </c>
      <c r="P55" s="28">
        <f t="shared" ca="1" si="17"/>
        <v>207576.41649083217</v>
      </c>
      <c r="Q55" s="28">
        <f t="shared" ca="1" si="17"/>
        <v>233712.63915952627</v>
      </c>
      <c r="R55" s="28">
        <f t="shared" ca="1" si="17"/>
        <v>263139.70838456665</v>
      </c>
      <c r="S55" s="28">
        <f t="shared" ca="1" si="17"/>
        <v>296271.97903255722</v>
      </c>
      <c r="T55" s="28">
        <f t="shared" ca="1" si="17"/>
        <v>333575.9779424314</v>
      </c>
      <c r="U55" s="28">
        <f t="shared" ca="1" si="17"/>
        <v>375576.97296787467</v>
      </c>
      <c r="V55" s="28">
        <f t="shared" ca="1" si="17"/>
        <v>422866.36913661537</v>
      </c>
      <c r="W55" s="28">
        <f t="shared" ca="1" si="17"/>
        <v>476110.03606996813</v>
      </c>
      <c r="X55" s="24" t="s">
        <v>92</v>
      </c>
      <c r="Y55" s="28">
        <f t="shared" si="7"/>
        <v>101895</v>
      </c>
      <c r="Z55" s="42">
        <f t="shared" ca="1" si="8"/>
        <v>295693.87193955563</v>
      </c>
      <c r="AA55" s="42">
        <f t="shared" ca="1" si="9"/>
        <v>476110.03606996813</v>
      </c>
      <c r="AB55" s="42">
        <f t="shared" ca="1" si="10"/>
        <v>210507.4768492218</v>
      </c>
      <c r="AC55" s="42">
        <f t="shared" ca="1" si="11"/>
        <v>263139.70838456665</v>
      </c>
      <c r="AD55" s="90"/>
      <c r="AE55" s="91"/>
      <c r="AF55" s="91"/>
      <c r="AG55" s="91"/>
      <c r="AH55" s="91"/>
      <c r="AI55" s="91"/>
      <c r="AJ55" s="91"/>
      <c r="AK55" s="90"/>
      <c r="AL55" s="90"/>
      <c r="AM55" s="90"/>
      <c r="AN55" s="90"/>
      <c r="AP55" s="121"/>
      <c r="AQ55" s="121"/>
      <c r="AR55" s="121"/>
      <c r="AS55" s="121"/>
      <c r="AT55" s="121"/>
      <c r="AU55" s="121"/>
      <c r="AV55" s="121"/>
      <c r="AW55" s="121"/>
      <c r="AX55" s="121"/>
      <c r="AY55" s="121"/>
    </row>
    <row r="56" spans="1:51" x14ac:dyDescent="0.25">
      <c r="A56" s="24" t="s">
        <v>93</v>
      </c>
      <c r="B56" s="24" t="s">
        <v>11</v>
      </c>
      <c r="C56" s="30" t="str">
        <f>IF(VLOOKUP(A56,'Input - Effective RE Level'!$A$2:$B$52,2,FALSE)=0,"",VLOOKUP(A56,'Input - Effective RE Level'!$A$2:$B$52,2,FALSE))</f>
        <v/>
      </c>
      <c r="D56" s="24" t="s">
        <v>117</v>
      </c>
      <c r="E56" s="60">
        <f t="shared" si="15"/>
        <v>0.1</v>
      </c>
      <c r="F56" s="28">
        <f>E56*VLOOKUP(B56,'Input- EIA 2012 Generation Data'!$A$2:$H$52,8,FALSE)</f>
        <v>9675568.1879999992</v>
      </c>
      <c r="G56" s="28">
        <f>(SUMIF('Input- EIA 2012 Generation Data'!$B$2:$B$52,'Calc Method Using MWh'!D56,'Input- EIA 2012 Generation Data'!$H$2:$H$52)*AVERAGEIF($D$16:$D$66,D56,$E$16:$E$66))</f>
        <v>93197688.003999993</v>
      </c>
      <c r="H56" s="28">
        <f ca="1">SUMIF('Input- EIA 2012 Generation Data'!$B$2:$G$52,'Calc Method Using MWh'!D56,'Input- EIA 2012 Generation Data'!$D$2:$D$52)</f>
        <v>18104807.379999999</v>
      </c>
      <c r="I56" s="57">
        <f t="shared" ca="1" si="14"/>
        <v>0.13432975769258282</v>
      </c>
      <c r="J56" s="42">
        <f>VLOOKUP(B56,'Input- EIA 2012 Generation Data'!$A$2:$G$52,4,FALSE)</f>
        <v>2143472.62</v>
      </c>
      <c r="K56" s="28">
        <f t="shared" ca="1" si="6"/>
        <v>2431404.7776652859</v>
      </c>
      <c r="L56" s="28">
        <f t="shared" ca="1" si="17"/>
        <v>2758014.792301652</v>
      </c>
      <c r="M56" s="28">
        <f t="shared" ca="1" si="17"/>
        <v>3128498.2510640919</v>
      </c>
      <c r="N56" s="28">
        <f t="shared" ca="1" si="17"/>
        <v>3548748.6630712007</v>
      </c>
      <c r="O56" s="28">
        <f t="shared" ca="1" si="17"/>
        <v>4025451.2110934323</v>
      </c>
      <c r="P56" s="28">
        <f t="shared" ca="1" si="17"/>
        <v>4566189.0968829272</v>
      </c>
      <c r="Q56" s="28">
        <f t="shared" ca="1" si="17"/>
        <v>5179564.1718457248</v>
      </c>
      <c r="R56" s="28">
        <f t="shared" ca="1" si="17"/>
        <v>5875333.7720029447</v>
      </c>
      <c r="S56" s="28">
        <f t="shared" ca="1" si="17"/>
        <v>6664565.9339591488</v>
      </c>
      <c r="T56" s="28">
        <f t="shared" ca="1" si="17"/>
        <v>7559815.4609941235</v>
      </c>
      <c r="U56" s="28">
        <f t="shared" ca="1" si="17"/>
        <v>8575323.640070105</v>
      </c>
      <c r="V56" s="28">
        <f t="shared" ca="1" si="17"/>
        <v>9675568.1879999992</v>
      </c>
      <c r="W56" s="28">
        <f t="shared" ca="1" si="17"/>
        <v>9675568.1879999992</v>
      </c>
      <c r="X56" s="24" t="s">
        <v>93</v>
      </c>
      <c r="Y56" s="28">
        <f t="shared" si="7"/>
        <v>2143472.62</v>
      </c>
      <c r="Z56" s="42">
        <f t="shared" ca="1" si="8"/>
        <v>6534612.8325919602</v>
      </c>
      <c r="AA56" s="42">
        <f t="shared" ca="1" si="9"/>
        <v>9675568.1879999992</v>
      </c>
      <c r="AB56" s="42">
        <f t="shared" ca="1" si="10"/>
        <v>4639057.3829792459</v>
      </c>
      <c r="AC56" s="42">
        <f t="shared" ca="1" si="11"/>
        <v>5875333.7720029447</v>
      </c>
      <c r="AD56" s="90"/>
      <c r="AE56" s="91"/>
      <c r="AF56" s="91"/>
      <c r="AG56" s="91"/>
      <c r="AH56" s="91"/>
      <c r="AI56" s="91"/>
      <c r="AJ56" s="91"/>
      <c r="AK56" s="90"/>
      <c r="AL56" s="90"/>
      <c r="AM56" s="90"/>
      <c r="AN56" s="90"/>
      <c r="AP56" s="121"/>
      <c r="AQ56" s="121"/>
      <c r="AR56" s="121"/>
      <c r="AS56" s="121"/>
      <c r="AT56" s="121"/>
      <c r="AU56" s="121"/>
      <c r="AV56" s="121"/>
      <c r="AW56" s="121"/>
      <c r="AX56" s="121"/>
      <c r="AY56" s="121"/>
    </row>
    <row r="57" spans="1:51" x14ac:dyDescent="0.25">
      <c r="A57" s="24" t="s">
        <v>94</v>
      </c>
      <c r="B57" s="24" t="s">
        <v>10</v>
      </c>
      <c r="C57" s="30" t="str">
        <f>IF(VLOOKUP(A57,'Input - Effective RE Level'!$A$2:$B$52,2,FALSE)=0,"",VLOOKUP(A57,'Input - Effective RE Level'!$A$2:$B$52,2,FALSE))</f>
        <v/>
      </c>
      <c r="D57" s="24" t="s">
        <v>122</v>
      </c>
      <c r="E57" s="60">
        <f t="shared" si="15"/>
        <v>0.15114</v>
      </c>
      <c r="F57" s="28">
        <f>E57*VLOOKUP(B57,'Input- EIA 2012 Generation Data'!$A$2:$H$52,8,FALSE)</f>
        <v>1818849.89484</v>
      </c>
      <c r="G57" s="28">
        <f>(SUMIF('Input- EIA 2012 Generation Data'!$B$2:$B$52,'Calc Method Using MWh'!D57,'Input- EIA 2012 Generation Data'!$H$2:$H$52)*AVERAGEIF($D$16:$D$66,D57,$E$16:$E$66))</f>
        <v>110786042.14611122</v>
      </c>
      <c r="H57" s="28">
        <f ca="1">SUMIF('Input- EIA 2012 Generation Data'!$B$2:$G$52,'Calc Method Using MWh'!D57,'Input- EIA 2012 Generation Data'!$D$2:$D$52)</f>
        <v>52058235.869999997</v>
      </c>
      <c r="I57" s="57">
        <f t="shared" ca="1" si="14"/>
        <v>5.9815900091390484E-2</v>
      </c>
      <c r="J57" s="42">
        <f>VLOOKUP(B57,'Input- EIA 2012 Generation Data'!$A$2:$G$52,4,FALSE)</f>
        <v>2914666</v>
      </c>
      <c r="K57" s="28">
        <f t="shared" ca="1" si="6"/>
        <v>1818849.89484</v>
      </c>
      <c r="L57" s="28">
        <f t="shared" ca="1" si="17"/>
        <v>1818849.89484</v>
      </c>
      <c r="M57" s="28">
        <f t="shared" ca="1" si="17"/>
        <v>1818849.89484</v>
      </c>
      <c r="N57" s="28">
        <f t="shared" ca="1" si="17"/>
        <v>1818849.89484</v>
      </c>
      <c r="O57" s="28">
        <f t="shared" ca="1" si="17"/>
        <v>1818849.89484</v>
      </c>
      <c r="P57" s="28">
        <f t="shared" ca="1" si="17"/>
        <v>1818849.89484</v>
      </c>
      <c r="Q57" s="28">
        <f t="shared" ca="1" si="17"/>
        <v>1818849.89484</v>
      </c>
      <c r="R57" s="28">
        <f t="shared" ca="1" si="17"/>
        <v>1818849.89484</v>
      </c>
      <c r="S57" s="28">
        <f t="shared" ca="1" si="17"/>
        <v>1818849.89484</v>
      </c>
      <c r="T57" s="28">
        <f t="shared" ca="1" si="17"/>
        <v>1818849.89484</v>
      </c>
      <c r="U57" s="28">
        <f t="shared" ca="1" si="17"/>
        <v>1818849.89484</v>
      </c>
      <c r="V57" s="28">
        <f t="shared" ca="1" si="17"/>
        <v>1818849.89484</v>
      </c>
      <c r="W57" s="28">
        <f t="shared" ca="1" si="17"/>
        <v>1818849.89484</v>
      </c>
      <c r="X57" s="24" t="s">
        <v>94</v>
      </c>
      <c r="Y57" s="28">
        <f t="shared" si="7"/>
        <v>2914666</v>
      </c>
      <c r="Z57" s="42">
        <f t="shared" ca="1" si="8"/>
        <v>1818849.8948399997</v>
      </c>
      <c r="AA57" s="42">
        <f t="shared" ca="1" si="9"/>
        <v>1818849.89484</v>
      </c>
      <c r="AB57" s="42">
        <f t="shared" ca="1" si="10"/>
        <v>1818849.8948399997</v>
      </c>
      <c r="AC57" s="42">
        <f t="shared" ca="1" si="11"/>
        <v>1818849.89484</v>
      </c>
      <c r="AD57" s="90"/>
      <c r="AE57" s="91"/>
      <c r="AF57" s="91"/>
      <c r="AG57" s="91"/>
      <c r="AH57" s="91"/>
      <c r="AI57" s="91"/>
      <c r="AJ57" s="91"/>
      <c r="AK57" s="90"/>
      <c r="AL57" s="90"/>
      <c r="AM57" s="90"/>
      <c r="AN57" s="90"/>
      <c r="AP57" s="121"/>
      <c r="AQ57" s="121"/>
      <c r="AR57" s="121"/>
      <c r="AS57" s="121"/>
      <c r="AT57" s="121"/>
      <c r="AU57" s="121"/>
      <c r="AV57" s="121"/>
      <c r="AW57" s="121"/>
      <c r="AX57" s="121"/>
      <c r="AY57" s="121"/>
    </row>
    <row r="58" spans="1:51" x14ac:dyDescent="0.25">
      <c r="A58" s="24" t="s">
        <v>95</v>
      </c>
      <c r="B58" s="24" t="s">
        <v>9</v>
      </c>
      <c r="C58" s="30" t="str">
        <f>IF(VLOOKUP(A58,'Input - Effective RE Level'!$A$2:$B$52,2,FALSE)=0,"",VLOOKUP(A58,'Input - Effective RE Level'!$A$2:$B$52,2,FALSE))</f>
        <v/>
      </c>
      <c r="D58" s="24" t="s">
        <v>117</v>
      </c>
      <c r="E58" s="60">
        <f t="shared" si="15"/>
        <v>0.1</v>
      </c>
      <c r="F58" s="28">
        <f>E58*VLOOKUP(B58,'Input- EIA 2012 Generation Data'!$A$2:$H$52,8,FALSE)</f>
        <v>7772426.3800000018</v>
      </c>
      <c r="G58" s="28">
        <f>(SUMIF('Input- EIA 2012 Generation Data'!$B$2:$B$52,'Calc Method Using MWh'!D58,'Input- EIA 2012 Generation Data'!$H$2:$H$52)*AVERAGEIF($D$16:$D$66,D58,$E$16:$E$66))</f>
        <v>93197688.003999993</v>
      </c>
      <c r="H58" s="28">
        <f ca="1">SUMIF('Input- EIA 2012 Generation Data'!$B$2:$G$52,'Calc Method Using MWh'!D58,'Input- EIA 2012 Generation Data'!$D$2:$D$52)</f>
        <v>18104807.379999999</v>
      </c>
      <c r="I58" s="57">
        <f t="shared" ca="1" si="14"/>
        <v>0.13432975769258282</v>
      </c>
      <c r="J58" s="42">
        <f>VLOOKUP(B58,'Input- EIA 2012 Generation Data'!$A$2:$G$52,4,FALSE)</f>
        <v>836457.85</v>
      </c>
      <c r="K58" s="28">
        <f t="shared" ca="1" si="6"/>
        <v>948819.03031055874</v>
      </c>
      <c r="L58" s="28">
        <f t="shared" ca="1" si="17"/>
        <v>1076273.6607462876</v>
      </c>
      <c r="M58" s="28">
        <f t="shared" ca="1" si="17"/>
        <v>1220849.2408052455</v>
      </c>
      <c r="N58" s="28">
        <f t="shared" ca="1" si="17"/>
        <v>1384845.6235017879</v>
      </c>
      <c r="O58" s="28">
        <f t="shared" ca="1" si="17"/>
        <v>1570871.6005484168</v>
      </c>
      <c r="P58" s="28">
        <f t="shared" ca="1" si="17"/>
        <v>1781886.4020162455</v>
      </c>
      <c r="Q58" s="28">
        <f t="shared" ca="1" si="17"/>
        <v>2021246.770634796</v>
      </c>
      <c r="R58" s="28">
        <f t="shared" ca="1" si="17"/>
        <v>2292760.3595710834</v>
      </c>
      <c r="S58" s="28">
        <f t="shared" ca="1" si="17"/>
        <v>2600746.3031194261</v>
      </c>
      <c r="T58" s="28">
        <f t="shared" ca="1" si="17"/>
        <v>2950103.923837339</v>
      </c>
      <c r="U58" s="28">
        <f t="shared" ca="1" si="17"/>
        <v>3346390.6690943465</v>
      </c>
      <c r="V58" s="28">
        <f t="shared" ca="1" si="17"/>
        <v>3795910.5168185099</v>
      </c>
      <c r="W58" s="28">
        <f t="shared" ca="1" si="17"/>
        <v>4305814.2567654671</v>
      </c>
      <c r="X58" s="24" t="s">
        <v>95</v>
      </c>
      <c r="Y58" s="28">
        <f t="shared" si="7"/>
        <v>836457.85</v>
      </c>
      <c r="Z58" s="42">
        <f t="shared" ca="1" si="8"/>
        <v>2605057.6425907416</v>
      </c>
      <c r="AA58" s="42">
        <f t="shared" ca="1" si="9"/>
        <v>4305814.2567654671</v>
      </c>
      <c r="AB58" s="42">
        <f t="shared" ca="1" si="10"/>
        <v>1810322.1512544663</v>
      </c>
      <c r="AC58" s="42">
        <f t="shared" ca="1" si="11"/>
        <v>2292760.3595710834</v>
      </c>
      <c r="AD58" s="90"/>
      <c r="AE58" s="91"/>
      <c r="AF58" s="91"/>
      <c r="AG58" s="91"/>
      <c r="AH58" s="91"/>
      <c r="AI58" s="91"/>
      <c r="AJ58" s="91"/>
      <c r="AK58" s="90"/>
      <c r="AL58" s="90"/>
      <c r="AM58" s="90"/>
      <c r="AN58" s="90"/>
      <c r="AP58" s="121"/>
      <c r="AQ58" s="121"/>
      <c r="AR58" s="121"/>
      <c r="AS58" s="121"/>
      <c r="AT58" s="121"/>
      <c r="AU58" s="121"/>
      <c r="AV58" s="121"/>
      <c r="AW58" s="121"/>
      <c r="AX58" s="121"/>
      <c r="AY58" s="121"/>
    </row>
    <row r="59" spans="1:51" x14ac:dyDescent="0.25">
      <c r="A59" s="24" t="s">
        <v>96</v>
      </c>
      <c r="B59" s="24" t="s">
        <v>8</v>
      </c>
      <c r="C59" s="30" t="str">
        <f>IF(VLOOKUP(A59,'Input - Effective RE Level'!$A$2:$B$52,2,FALSE)=0,"",VLOOKUP(A59,'Input - Effective RE Level'!$A$2:$B$52,2,FALSE))</f>
        <v/>
      </c>
      <c r="D59" s="24" t="s">
        <v>119</v>
      </c>
      <c r="E59" s="60">
        <f t="shared" si="15"/>
        <v>0.2</v>
      </c>
      <c r="F59" s="28">
        <f>E59*VLOOKUP(B59,'Input- EIA 2012 Generation Data'!$A$2:$H$52,8,FALSE)</f>
        <v>85962501.958000004</v>
      </c>
      <c r="G59" s="28">
        <f>(SUMIF('Input- EIA 2012 Generation Data'!$B$2:$B$52,'Calc Method Using MWh'!D59,'Input- EIA 2012 Generation Data'!$H$2:$H$52)*AVERAGEIF($D$16:$D$66,D59,$E$16:$E$66))</f>
        <v>150952893.01199996</v>
      </c>
      <c r="H59" s="28">
        <f ca="1">SUMIF('Input- EIA 2012 Generation Data'!$B$2:$G$52,'Calc Method Using MWh'!D59,'Input- EIA 2012 Generation Data'!$D$2:$D$52)</f>
        <v>53227248.009999998</v>
      </c>
      <c r="I59" s="57">
        <f t="shared" ca="1" si="14"/>
        <v>8.3486858853496049E-2</v>
      </c>
      <c r="J59" s="42">
        <f>VLOOKUP(B59,'Input- EIA 2012 Generation Data'!$A$2:$G$52,4,FALSE)</f>
        <v>34016696.530000001</v>
      </c>
      <c r="K59" s="28">
        <f t="shared" ca="1" si="6"/>
        <v>36856643.671862319</v>
      </c>
      <c r="L59" s="28">
        <f t="shared" ca="1" si="17"/>
        <v>39933689.079908684</v>
      </c>
      <c r="M59" s="28">
        <f t="shared" ca="1" si="17"/>
        <v>43267627.343622416</v>
      </c>
      <c r="N59" s="28">
        <f t="shared" ca="1" si="17"/>
        <v>46879905.640585087</v>
      </c>
      <c r="O59" s="28">
        <f t="shared" ca="1" si="17"/>
        <v>50793761.70586583</v>
      </c>
      <c r="P59" s="28">
        <f t="shared" ca="1" si="17"/>
        <v>55034373.320041567</v>
      </c>
      <c r="Q59" s="28">
        <f t="shared" ca="1" si="17"/>
        <v>59629020.277502485</v>
      </c>
      <c r="R59" s="28">
        <f t="shared" ca="1" si="17"/>
        <v>64607259.876982592</v>
      </c>
      <c r="S59" s="28">
        <f t="shared" ca="1" si="17"/>
        <v>70001117.063243374</v>
      </c>
      <c r="T59" s="28">
        <f t="shared" ca="1" si="17"/>
        <v>75845290.443089426</v>
      </c>
      <c r="U59" s="28">
        <f t="shared" ca="1" si="17"/>
        <v>82177375.501014039</v>
      </c>
      <c r="V59" s="28">
        <f t="shared" ca="1" si="17"/>
        <v>85962501.958000004</v>
      </c>
      <c r="W59" s="28">
        <f t="shared" ca="1" si="17"/>
        <v>85962501.958000004</v>
      </c>
      <c r="X59" s="24" t="s">
        <v>96</v>
      </c>
      <c r="Y59" s="28">
        <f t="shared" si="7"/>
        <v>34016696.530000001</v>
      </c>
      <c r="Z59" s="42">
        <f t="shared" ca="1" si="8"/>
        <v>67689310.774432451</v>
      </c>
      <c r="AA59" s="42">
        <f t="shared" ca="1" si="9"/>
        <v>85962501.958000004</v>
      </c>
      <c r="AB59" s="42">
        <f t="shared" ca="1" si="10"/>
        <v>55388864.164195515</v>
      </c>
      <c r="AC59" s="42">
        <f t="shared" ca="1" si="11"/>
        <v>64607259.876982592</v>
      </c>
      <c r="AD59" s="90"/>
      <c r="AE59" s="91"/>
      <c r="AF59" s="91"/>
      <c r="AG59" s="91"/>
      <c r="AH59" s="91"/>
      <c r="AI59" s="91"/>
      <c r="AJ59" s="91"/>
      <c r="AK59" s="90"/>
      <c r="AL59" s="90"/>
      <c r="AM59" s="90"/>
      <c r="AN59" s="90"/>
      <c r="AP59" s="121"/>
      <c r="AQ59" s="121"/>
      <c r="AR59" s="121"/>
      <c r="AS59" s="121"/>
      <c r="AT59" s="121"/>
      <c r="AU59" s="121"/>
      <c r="AV59" s="121"/>
      <c r="AW59" s="121"/>
      <c r="AX59" s="121"/>
      <c r="AY59" s="121"/>
    </row>
    <row r="60" spans="1:51" x14ac:dyDescent="0.25">
      <c r="A60" s="24" t="s">
        <v>97</v>
      </c>
      <c r="B60" s="24" t="s">
        <v>7</v>
      </c>
      <c r="C60" s="30" t="str">
        <f>IF(VLOOKUP(A60,'Input - Effective RE Level'!$A$2:$B$52,2,FALSE)=0,"",VLOOKUP(A60,'Input - Effective RE Level'!$A$2:$B$52,2,FALSE))</f>
        <v/>
      </c>
      <c r="D60" s="24" t="s">
        <v>118</v>
      </c>
      <c r="E60" s="60">
        <f t="shared" si="15"/>
        <v>0.20624999999999999</v>
      </c>
      <c r="F60" s="28">
        <f>E60*VLOOKUP(B60,'Input- EIA 2012 Generation Data'!$A$2:$H$52,8,FALSE)</f>
        <v>7489458.8370937482</v>
      </c>
      <c r="G60" s="28">
        <f>(SUMIF('Input- EIA 2012 Generation Data'!$B$2:$B$52,'Calc Method Using MWh'!D60,'Input- EIA 2012 Generation Data'!$H$2:$H$52)*AVERAGEIF($D$16:$D$66,D60,$E$16:$E$66))</f>
        <v>146877467.42893127</v>
      </c>
      <c r="H60" s="28">
        <f ca="1">SUMIF('Input- EIA 2012 Generation Data'!$B$2:$G$52,'Calc Method Using MWh'!D60,'Input- EIA 2012 Generation Data'!$D$2:$D$52)</f>
        <v>68065726.450000003</v>
      </c>
      <c r="I60" s="57">
        <f t="shared" ca="1" si="14"/>
        <v>6.094864111130982E-2</v>
      </c>
      <c r="J60" s="42">
        <f>VLOOKUP(B60,'Input- EIA 2012 Generation Data'!$A$2:$G$52,4,FALSE)</f>
        <v>1099723.94</v>
      </c>
      <c r="K60" s="28">
        <f t="shared" ca="1" si="6"/>
        <v>1166750.6197405756</v>
      </c>
      <c r="L60" s="28">
        <f t="shared" ca="1" si="17"/>
        <v>1237862.4845295423</v>
      </c>
      <c r="M60" s="28">
        <f t="shared" ca="1" si="17"/>
        <v>1313308.5208442877</v>
      </c>
      <c r="N60" s="28">
        <f t="shared" ca="1" si="17"/>
        <v>1393352.8905496513</v>
      </c>
      <c r="O60" s="28">
        <f t="shared" ca="1" si="17"/>
        <v>1478275.8558171683</v>
      </c>
      <c r="P60" s="28">
        <f t="shared" ca="1" si="17"/>
        <v>1568374.7604168833</v>
      </c>
      <c r="Q60" s="28">
        <f t="shared" ca="1" si="17"/>
        <v>1663965.0708175683</v>
      </c>
      <c r="R60" s="28">
        <f t="shared" ca="1" si="17"/>
        <v>1765381.4807405835</v>
      </c>
      <c r="S60" s="28">
        <f t="shared" ca="1" si="17"/>
        <v>1872979.0830347941</v>
      </c>
      <c r="T60" s="28">
        <f t="shared" ca="1" si="17"/>
        <v>1987134.6129756719</v>
      </c>
      <c r="U60" s="28">
        <f t="shared" ca="1" si="17"/>
        <v>2108247.7673417875</v>
      </c>
      <c r="V60" s="28">
        <f t="shared" ca="1" si="17"/>
        <v>2236742.6038872222</v>
      </c>
      <c r="W60" s="28">
        <f t="shared" ca="1" si="17"/>
        <v>2373069.0261099213</v>
      </c>
      <c r="X60" s="24" t="s">
        <v>97</v>
      </c>
      <c r="Y60" s="28">
        <f t="shared" si="7"/>
        <v>1099723.94</v>
      </c>
      <c r="Z60" s="42">
        <f t="shared" ca="1" si="8"/>
        <v>1844752.3151691251</v>
      </c>
      <c r="AA60" s="42">
        <f t="shared" ca="1" si="9"/>
        <v>2373069.0261099213</v>
      </c>
      <c r="AB60" s="42">
        <f t="shared" ca="1" si="10"/>
        <v>1573870.0116683708</v>
      </c>
      <c r="AC60" s="42">
        <f t="shared" ca="1" si="11"/>
        <v>1765381.4807405835</v>
      </c>
      <c r="AD60" s="90"/>
      <c r="AE60" s="91"/>
      <c r="AF60" s="91"/>
      <c r="AG60" s="91"/>
      <c r="AH60" s="91"/>
      <c r="AI60" s="91"/>
      <c r="AJ60" s="91"/>
      <c r="AK60" s="90"/>
      <c r="AL60" s="90"/>
      <c r="AM60" s="90"/>
      <c r="AN60" s="90"/>
      <c r="AP60" s="121"/>
      <c r="AQ60" s="121"/>
      <c r="AR60" s="121"/>
      <c r="AS60" s="121"/>
      <c r="AT60" s="121"/>
      <c r="AU60" s="121"/>
      <c r="AV60" s="121"/>
      <c r="AW60" s="121"/>
      <c r="AX60" s="121"/>
      <c r="AY60" s="121"/>
    </row>
    <row r="61" spans="1:51" x14ac:dyDescent="0.25">
      <c r="A61" s="24" t="s">
        <v>99</v>
      </c>
      <c r="B61" s="24" t="s">
        <v>5</v>
      </c>
      <c r="C61" s="30" t="str">
        <f>IF(VLOOKUP(A61,'Input - Effective RE Level'!$A$2:$B$52,2,FALSE)=0,"",VLOOKUP(A61,'Input - Effective RE Level'!$A$2:$B$52,2,FALSE))</f>
        <v/>
      </c>
      <c r="D61" s="24" t="s">
        <v>120</v>
      </c>
      <c r="E61" s="60">
        <f t="shared" si="15"/>
        <v>0.25031738739456966</v>
      </c>
      <c r="F61" s="28">
        <f>E61*VLOOKUP(B61,'Input- EIA 2012 Generation Data'!$A$2:$H$52,8,FALSE)</f>
        <v>1644502.657979395</v>
      </c>
      <c r="G61" s="28">
        <f>(SUMIF('Input- EIA 2012 Generation Data'!$B$2:$B$52,'Calc Method Using MWh'!D61,'Input- EIA 2012 Generation Data'!$H$2:$H$52)*AVERAGEIF($D$16:$D$66,D61,$E$16:$E$66))</f>
        <v>64245372.586592935</v>
      </c>
      <c r="H61" s="28">
        <f ca="1">SUMIF('Input- EIA 2012 Generation Data'!$B$2:$G$52,'Calc Method Using MWh'!D61,'Input- EIA 2012 Generation Data'!$D$2:$D$52)</f>
        <v>13749515.33</v>
      </c>
      <c r="I61" s="57">
        <f t="shared" ca="1" si="14"/>
        <v>0.12591132996001231</v>
      </c>
      <c r="J61" s="75" t="s">
        <v>139</v>
      </c>
      <c r="K61" s="75" t="s">
        <v>139</v>
      </c>
      <c r="L61" s="75" t="s">
        <v>139</v>
      </c>
      <c r="M61" s="75" t="s">
        <v>139</v>
      </c>
      <c r="N61" s="75" t="s">
        <v>139</v>
      </c>
      <c r="O61" s="75" t="s">
        <v>139</v>
      </c>
      <c r="P61" s="75" t="s">
        <v>139</v>
      </c>
      <c r="Q61" s="75" t="s">
        <v>139</v>
      </c>
      <c r="R61" s="75" t="s">
        <v>139</v>
      </c>
      <c r="S61" s="75" t="s">
        <v>139</v>
      </c>
      <c r="T61" s="75" t="s">
        <v>139</v>
      </c>
      <c r="U61" s="75" t="s">
        <v>139</v>
      </c>
      <c r="V61" s="75" t="s">
        <v>139</v>
      </c>
      <c r="W61" s="75" t="s">
        <v>139</v>
      </c>
      <c r="X61" s="24" t="s">
        <v>99</v>
      </c>
      <c r="Y61" s="75" t="s">
        <v>139</v>
      </c>
      <c r="Z61" s="88" t="s">
        <v>139</v>
      </c>
      <c r="AA61" s="88" t="s">
        <v>139</v>
      </c>
      <c r="AB61" s="88" t="s">
        <v>139</v>
      </c>
      <c r="AC61" s="88" t="s">
        <v>139</v>
      </c>
      <c r="AD61" s="90"/>
      <c r="AE61" s="91"/>
      <c r="AF61" s="91"/>
      <c r="AG61" s="91"/>
      <c r="AH61" s="91"/>
      <c r="AI61" s="91"/>
      <c r="AJ61" s="91"/>
      <c r="AK61" s="90"/>
      <c r="AL61" s="90"/>
      <c r="AM61" s="90"/>
      <c r="AN61" s="90"/>
      <c r="AP61" s="121"/>
      <c r="AQ61" s="121"/>
      <c r="AR61" s="121"/>
      <c r="AS61" s="121"/>
      <c r="AT61" s="121"/>
      <c r="AU61" s="121"/>
      <c r="AV61" s="121"/>
      <c r="AW61" s="121"/>
      <c r="AX61" s="121"/>
      <c r="AY61" s="121"/>
    </row>
    <row r="62" spans="1:51" x14ac:dyDescent="0.25">
      <c r="A62" s="24" t="s">
        <v>98</v>
      </c>
      <c r="B62" s="24" t="s">
        <v>6</v>
      </c>
      <c r="C62" s="30" t="str">
        <f>IF(VLOOKUP(A62,'Input - Effective RE Level'!$A$2:$B$52,2,FALSE)=0,"",VLOOKUP(A62,'Input - Effective RE Level'!$A$2:$B$52,2,FALSE))</f>
        <v/>
      </c>
      <c r="D62" s="24" t="s">
        <v>121</v>
      </c>
      <c r="E62" s="60">
        <f t="shared" si="15"/>
        <v>0.15821500000000002</v>
      </c>
      <c r="F62" s="28">
        <f>E62*VLOOKUP(B62,'Input- EIA 2012 Generation Data'!$A$2:$H$52,8,FALSE)</f>
        <v>11192008.056032101</v>
      </c>
      <c r="G62" s="28">
        <f>(SUMIF('Input- EIA 2012 Generation Data'!$B$2:$B$52,'Calc Method Using MWh'!D62,'Input- EIA 2012 Generation Data'!$H$2:$H$52)*AVERAGEIF($D$16:$D$66,D62,$E$16:$E$66))</f>
        <v>96368237.239952162</v>
      </c>
      <c r="H62" s="28">
        <f ca="1">SUMIF('Input- EIA 2012 Generation Data'!$B$2:$G$52,'Calc Method Using MWh'!D62,'Input- EIA 2012 Generation Data'!$D$2:$D$52)</f>
        <v>12162663.629999999</v>
      </c>
      <c r="I62" s="57">
        <f t="shared" ca="1" si="14"/>
        <v>0.17259099671408151</v>
      </c>
      <c r="J62" s="42">
        <f>VLOOKUP(B62,'Input- EIA 2012 Generation Data'!$A$2:$G$52,4,FALSE)</f>
        <v>2358443.6</v>
      </c>
      <c r="K62" s="28">
        <f t="shared" ca="1" si="6"/>
        <v>2765489.7316179466</v>
      </c>
      <c r="L62" s="28">
        <f t="shared" ca="1" si="17"/>
        <v>3242788.360800446</v>
      </c>
      <c r="M62" s="28">
        <f t="shared" ca="1" si="17"/>
        <v>3802464.4361238177</v>
      </c>
      <c r="N62" s="28">
        <f t="shared" ca="1" si="17"/>
        <v>4458735.5631242758</v>
      </c>
      <c r="O62" s="28">
        <f t="shared" ca="1" si="17"/>
        <v>5228273.178048416</v>
      </c>
      <c r="P62" s="28">
        <f t="shared" ca="1" si="17"/>
        <v>6130626.0569412904</v>
      </c>
      <c r="Q62" s="28">
        <f t="shared" ca="1" si="17"/>
        <v>7188716.918590107</v>
      </c>
      <c r="R62" s="28">
        <f t="shared" ca="1" si="17"/>
        <v>8429424.7366649546</v>
      </c>
      <c r="S62" s="28">
        <f t="shared" ca="1" si="17"/>
        <v>9884267.5536922924</v>
      </c>
      <c r="T62" s="28">
        <f t="shared" ca="1" si="17"/>
        <v>11192008.056032101</v>
      </c>
      <c r="U62" s="28">
        <f t="shared" ca="1" si="17"/>
        <v>11192008.056032101</v>
      </c>
      <c r="V62" s="28">
        <f t="shared" ca="1" si="17"/>
        <v>11192008.056032101</v>
      </c>
      <c r="W62" s="28">
        <f t="shared" ca="1" si="17"/>
        <v>11192008.056032101</v>
      </c>
      <c r="X62" s="24" t="s">
        <v>98</v>
      </c>
      <c r="Y62" s="28">
        <f t="shared" si="7"/>
        <v>2358443.6</v>
      </c>
      <c r="Z62" s="42">
        <f t="shared" ca="1" si="8"/>
        <v>8608807.6231189743</v>
      </c>
      <c r="AA62" s="42">
        <f t="shared" ca="1" si="9"/>
        <v>11192008.056032101</v>
      </c>
      <c r="AB62" s="42">
        <f t="shared" ca="1" si="10"/>
        <v>6287155.2906738091</v>
      </c>
      <c r="AC62" s="42">
        <f t="shared" ca="1" si="11"/>
        <v>8429424.7366649546</v>
      </c>
      <c r="AD62" s="90"/>
      <c r="AE62" s="91"/>
      <c r="AF62" s="91"/>
      <c r="AG62" s="91"/>
      <c r="AH62" s="91"/>
      <c r="AI62" s="91"/>
      <c r="AJ62" s="91"/>
      <c r="AK62" s="90"/>
      <c r="AL62" s="90"/>
      <c r="AM62" s="90"/>
      <c r="AN62" s="90"/>
      <c r="AP62" s="121"/>
      <c r="AQ62" s="121"/>
      <c r="AR62" s="121"/>
      <c r="AS62" s="121"/>
      <c r="AT62" s="121"/>
      <c r="AU62" s="121"/>
      <c r="AV62" s="121"/>
      <c r="AW62" s="121"/>
      <c r="AX62" s="121"/>
      <c r="AY62" s="121"/>
    </row>
    <row r="63" spans="1:51" x14ac:dyDescent="0.25">
      <c r="A63" s="24" t="s">
        <v>100</v>
      </c>
      <c r="B63" s="24" t="s">
        <v>4</v>
      </c>
      <c r="C63" s="30">
        <f>IF(VLOOKUP(A63,'Input - Effective RE Level'!$A$2:$B$52,2,FALSE)=0,"",VLOOKUP(A63,'Input - Effective RE Level'!$A$2:$B$52,2,FALSE))</f>
        <v>0.15</v>
      </c>
      <c r="D63" s="24" t="s">
        <v>118</v>
      </c>
      <c r="E63" s="60">
        <f t="shared" si="15"/>
        <v>0.20624999999999999</v>
      </c>
      <c r="F63" s="28">
        <f>E63*VLOOKUP(B63,'Input- EIA 2012 Generation Data'!$A$2:$H$52,8,FALSE)</f>
        <v>24097316.421749998</v>
      </c>
      <c r="G63" s="28">
        <f>(SUMIF('Input- EIA 2012 Generation Data'!$B$2:$B$52,'Calc Method Using MWh'!D63,'Input- EIA 2012 Generation Data'!$H$2:$H$52)*AVERAGEIF($D$16:$D$66,D63,$E$16:$E$66))</f>
        <v>146877467.42893127</v>
      </c>
      <c r="H63" s="28">
        <f ca="1">SUMIF('Input- EIA 2012 Generation Data'!$B$2:$G$52,'Calc Method Using MWh'!D63,'Input- EIA 2012 Generation Data'!$D$2:$D$52)</f>
        <v>68065726.450000003</v>
      </c>
      <c r="I63" s="57">
        <f t="shared" ca="1" si="14"/>
        <v>6.094864111130982E-2</v>
      </c>
      <c r="J63" s="42">
        <f>VLOOKUP(B63,'Input- EIA 2012 Generation Data'!$A$2:$G$52,4,FALSE)</f>
        <v>8214350.1699999999</v>
      </c>
      <c r="K63" s="28">
        <f t="shared" ca="1" si="6"/>
        <v>8715003.650473956</v>
      </c>
      <c r="L63" s="28">
        <f t="shared" ca="1" si="17"/>
        <v>9246171.2802504487</v>
      </c>
      <c r="M63" s="28">
        <f t="shared" ca="1" si="17"/>
        <v>9809712.8552641328</v>
      </c>
      <c r="N63" s="28">
        <f t="shared" ca="1" si="17"/>
        <v>10407601.523484629</v>
      </c>
      <c r="O63" s="28">
        <f t="shared" ca="1" si="17"/>
        <v>11041930.693569014</v>
      </c>
      <c r="P63" s="28">
        <f t="shared" ca="1" si="17"/>
        <v>11714921.364587309</v>
      </c>
      <c r="Q63" s="28">
        <f t="shared" ca="1" si="17"/>
        <v>12428929.902484756</v>
      </c>
      <c r="R63" s="28">
        <f t="shared" ca="1" si="17"/>
        <v>13186456.290508926</v>
      </c>
      <c r="S63" s="28">
        <f t="shared" ca="1" si="17"/>
        <v>13990152.882489128</v>
      </c>
      <c r="T63" s="28">
        <f t="shared" ca="1" si="17"/>
        <v>14842833.689616315</v>
      </c>
      <c r="U63" s="28">
        <f t="shared" ca="1" si="17"/>
        <v>15747484.233239599</v>
      </c>
      <c r="V63" s="28">
        <f t="shared" ca="1" si="17"/>
        <v>16707271.998177329</v>
      </c>
      <c r="W63" s="28">
        <f t="shared" ca="1" si="17"/>
        <v>17725557.523143277</v>
      </c>
      <c r="X63" s="24" t="s">
        <v>100</v>
      </c>
      <c r="Y63" s="28">
        <f t="shared" si="7"/>
        <v>8214350.1699999999</v>
      </c>
      <c r="Z63" s="42">
        <f t="shared" ca="1" si="8"/>
        <v>13779314.010130027</v>
      </c>
      <c r="AA63" s="42">
        <f t="shared" ca="1" si="9"/>
        <v>17725557.523143277</v>
      </c>
      <c r="AB63" s="42">
        <f t="shared" ca="1" si="10"/>
        <v>11755967.954926927</v>
      </c>
      <c r="AC63" s="42">
        <f t="shared" ca="1" si="11"/>
        <v>13186456.290508926</v>
      </c>
      <c r="AD63" s="90"/>
      <c r="AE63" s="91"/>
      <c r="AF63" s="91"/>
      <c r="AG63" s="91"/>
      <c r="AH63" s="91"/>
      <c r="AI63" s="91"/>
      <c r="AJ63" s="90"/>
      <c r="AK63" s="90"/>
      <c r="AL63" s="90"/>
      <c r="AM63" s="90"/>
      <c r="AN63" s="90"/>
      <c r="AP63" s="121"/>
      <c r="AQ63" s="121"/>
      <c r="AR63" s="121"/>
      <c r="AS63" s="121"/>
      <c r="AT63" s="121"/>
      <c r="AU63" s="121"/>
      <c r="AV63" s="121"/>
      <c r="AW63" s="121"/>
      <c r="AX63" s="121"/>
      <c r="AY63" s="121"/>
    </row>
    <row r="64" spans="1:51" x14ac:dyDescent="0.25">
      <c r="A64" s="24" t="s">
        <v>102</v>
      </c>
      <c r="B64" s="24" t="s">
        <v>2</v>
      </c>
      <c r="C64" s="30" t="str">
        <f>IF(VLOOKUP(A64,'Input - Effective RE Level'!$A$2:$B$52,2,FALSE)=0,"",VLOOKUP(A64,'Input - Effective RE Level'!$A$2:$B$52,2,FALSE))</f>
        <v/>
      </c>
      <c r="D64" s="24" t="s">
        <v>121</v>
      </c>
      <c r="E64" s="60">
        <f t="shared" si="15"/>
        <v>0.15821500000000002</v>
      </c>
      <c r="F64" s="28">
        <f>E64*VLOOKUP(B64,'Input- EIA 2012 Generation Data'!$A$2:$H$52,8,FALSE)</f>
        <v>11615101.824610502</v>
      </c>
      <c r="G64" s="28">
        <f>(SUMIF('Input- EIA 2012 Generation Data'!$B$2:$B$52,'Calc Method Using MWh'!D64,'Input- EIA 2012 Generation Data'!$H$2:$H$52)*AVERAGEIF($D$16:$D$66,D64,$E$16:$E$66))</f>
        <v>96368237.239952162</v>
      </c>
      <c r="H64" s="28">
        <f ca="1">SUMIF('Input- EIA 2012 Generation Data'!$B$2:$G$52,'Calc Method Using MWh'!D64,'Input- EIA 2012 Generation Data'!$D$2:$D$52)</f>
        <v>12162663.629999999</v>
      </c>
      <c r="I64" s="57">
        <f t="shared" ca="1" si="14"/>
        <v>0.17259099671408151</v>
      </c>
      <c r="J64" s="42">
        <f>VLOOKUP(B64,'Input- EIA 2012 Generation Data'!$A$2:$G$52,4,FALSE)</f>
        <v>1296562.95</v>
      </c>
      <c r="K64" s="28">
        <f t="shared" ca="1" si="6"/>
        <v>1520338.0418430497</v>
      </c>
      <c r="L64" s="28">
        <f t="shared" ca="1" si="17"/>
        <v>1782734.6998270766</v>
      </c>
      <c r="M64" s="28">
        <f t="shared" ca="1" si="17"/>
        <v>2090418.6585470107</v>
      </c>
      <c r="N64" s="28">
        <f t="shared" ca="1" si="17"/>
        <v>2451206.0983753526</v>
      </c>
      <c r="O64" s="28">
        <f t="shared" ca="1" si="17"/>
        <v>2874262.2020455897</v>
      </c>
      <c r="P64" s="28">
        <f t="shared" ca="1" si="17"/>
        <v>3370333.9803142487</v>
      </c>
      <c r="Q64" s="28">
        <f t="shared" ca="1" si="17"/>
        <v>3952023.2812360222</v>
      </c>
      <c r="R64" s="28">
        <f t="shared" ca="1" si="17"/>
        <v>4634106.9183818018</v>
      </c>
      <c r="S64" s="28">
        <f t="shared" ca="1" si="17"/>
        <v>5433912.0503049381</v>
      </c>
      <c r="T64" s="28">
        <f t="shared" ca="1" si="17"/>
        <v>6371756.3471237253</v>
      </c>
      <c r="U64" s="28">
        <f t="shared" ca="1" si="17"/>
        <v>7471464.1258930843</v>
      </c>
      <c r="V64" s="28">
        <f t="shared" ca="1" si="17"/>
        <v>8760971.5662944764</v>
      </c>
      <c r="W64" s="28">
        <f t="shared" ca="1" si="17"/>
        <v>10273036.381104968</v>
      </c>
      <c r="X64" s="24" t="s">
        <v>102</v>
      </c>
      <c r="Y64" s="28">
        <f t="shared" si="7"/>
        <v>1296562.95</v>
      </c>
      <c r="Z64" s="42">
        <f t="shared" ca="1" si="8"/>
        <v>5559307.2951074215</v>
      </c>
      <c r="AA64" s="42">
        <f t="shared" ca="1" si="9"/>
        <v>10273036.381104968</v>
      </c>
      <c r="AB64" s="42">
        <f t="shared" ca="1" si="10"/>
        <v>3456386.4960706034</v>
      </c>
      <c r="AC64" s="42">
        <f t="shared" ca="1" si="11"/>
        <v>4634106.9183818018</v>
      </c>
      <c r="AD64" s="90"/>
      <c r="AE64" s="91"/>
      <c r="AF64" s="91"/>
      <c r="AG64" s="91"/>
      <c r="AH64" s="91"/>
      <c r="AI64" s="91"/>
      <c r="AJ64" s="90"/>
      <c r="AK64" s="90"/>
      <c r="AL64" s="90"/>
      <c r="AM64" s="90"/>
      <c r="AN64" s="90"/>
      <c r="AP64" s="121"/>
      <c r="AQ64" s="121"/>
      <c r="AR64" s="121"/>
      <c r="AS64" s="121"/>
      <c r="AT64" s="121"/>
      <c r="AU64" s="121"/>
      <c r="AV64" s="121"/>
      <c r="AW64" s="121"/>
      <c r="AX64" s="121"/>
      <c r="AY64" s="121"/>
    </row>
    <row r="65" spans="1:51" x14ac:dyDescent="0.25">
      <c r="A65" s="24" t="s">
        <v>101</v>
      </c>
      <c r="B65" s="24" t="s">
        <v>3</v>
      </c>
      <c r="C65" s="30">
        <f>IF(VLOOKUP(A65,'Input - Effective RE Level'!$A$2:$B$52,2,FALSE)=0,"",VLOOKUP(A65,'Input - Effective RE Level'!$A$2:$B$52,2,FALSE))</f>
        <v>9.5699999999999993E-2</v>
      </c>
      <c r="D65" s="24" t="s">
        <v>122</v>
      </c>
      <c r="E65" s="60">
        <f t="shared" si="15"/>
        <v>0.15114</v>
      </c>
      <c r="F65" s="28">
        <f>E65*VLOOKUP(B65,'Input- EIA 2012 Generation Data'!$A$2:$H$52,8,FALSE)</f>
        <v>9634103.3992631994</v>
      </c>
      <c r="G65" s="28">
        <f>(SUMIF('Input- EIA 2012 Generation Data'!$B$2:$B$52,'Calc Method Using MWh'!D65,'Input- EIA 2012 Generation Data'!$H$2:$H$52)*AVERAGEIF($D$16:$D$66,D65,$E$16:$E$66))</f>
        <v>110786042.14611122</v>
      </c>
      <c r="H65" s="28">
        <f ca="1">SUMIF('Input- EIA 2012 Generation Data'!$B$2:$G$52,'Calc Method Using MWh'!D65,'Input- EIA 2012 Generation Data'!$D$2:$D$52)</f>
        <v>52058235.869999997</v>
      </c>
      <c r="I65" s="57">
        <f t="shared" ca="1" si="14"/>
        <v>5.9815900091390484E-2</v>
      </c>
      <c r="J65" s="42">
        <f>VLOOKUP(B65,'Input- EIA 2012 Generation Data'!$A$2:$G$52,4,FALSE)</f>
        <v>3223177.8900000006</v>
      </c>
      <c r="K65" s="28">
        <f t="shared" ca="1" si="6"/>
        <v>3415975.1766450196</v>
      </c>
      <c r="L65" s="28">
        <f t="shared" ca="1" si="17"/>
        <v>3620304.8065258879</v>
      </c>
      <c r="M65" s="28">
        <f t="shared" ca="1" si="17"/>
        <v>3836856.5971334213</v>
      </c>
      <c r="N65" s="28">
        <f t="shared" ca="1" si="17"/>
        <v>4066361.6280125463</v>
      </c>
      <c r="O65" s="28">
        <f t="shared" ca="1" si="17"/>
        <v>4309594.7088892087</v>
      </c>
      <c r="P65" s="28">
        <f t="shared" ca="1" si="17"/>
        <v>4567376.9954305105</v>
      </c>
      <c r="Q65" s="28">
        <f t="shared" ca="1" si="17"/>
        <v>4840578.7614688976</v>
      </c>
      <c r="R65" s="28">
        <f t="shared" ca="1" si="17"/>
        <v>5130122.3370494274</v>
      </c>
      <c r="S65" s="28">
        <f t="shared" ca="1" si="17"/>
        <v>5436985.2222189866</v>
      </c>
      <c r="T65" s="28">
        <f t="shared" ca="1" si="17"/>
        <v>5762203.3870696044</v>
      </c>
      <c r="U65" s="28">
        <f t="shared" ca="1" si="17"/>
        <v>6106874.7691768315</v>
      </c>
      <c r="V65" s="28">
        <f t="shared" ca="1" si="17"/>
        <v>6472162.9802405462</v>
      </c>
      <c r="W65" s="28">
        <f t="shared" ca="1" si="17"/>
        <v>6859301.2344418112</v>
      </c>
      <c r="X65" s="24" t="s">
        <v>101</v>
      </c>
      <c r="Y65" s="28">
        <f t="shared" si="7"/>
        <v>3223177.8900000006</v>
      </c>
      <c r="Z65" s="42">
        <f t="shared" ca="1" si="8"/>
        <v>5355156.2023998369</v>
      </c>
      <c r="AA65" s="42">
        <f t="shared" ca="1" si="9"/>
        <v>6859301.2344418112</v>
      </c>
      <c r="AB65" s="42">
        <f t="shared" ca="1" si="10"/>
        <v>4582806.8861701181</v>
      </c>
      <c r="AC65" s="42">
        <f t="shared" ca="1" si="11"/>
        <v>5130122.3370494274</v>
      </c>
      <c r="AD65" s="90"/>
      <c r="AE65" s="91"/>
      <c r="AF65" s="91"/>
      <c r="AG65" s="91"/>
      <c r="AH65" s="91"/>
      <c r="AI65" s="91"/>
      <c r="AJ65" s="90"/>
      <c r="AK65" s="90"/>
      <c r="AL65" s="90"/>
      <c r="AM65" s="90"/>
      <c r="AN65" s="90"/>
      <c r="AP65" s="121"/>
      <c r="AQ65" s="121"/>
      <c r="AR65" s="121"/>
      <c r="AS65" s="121"/>
      <c r="AT65" s="121"/>
      <c r="AU65" s="121"/>
      <c r="AV65" s="121"/>
      <c r="AW65" s="121"/>
      <c r="AX65" s="121"/>
      <c r="AY65" s="121"/>
    </row>
    <row r="66" spans="1:51" x14ac:dyDescent="0.25">
      <c r="A66" s="24" t="s">
        <v>103</v>
      </c>
      <c r="B66" s="24" t="s">
        <v>1</v>
      </c>
      <c r="C66" s="30" t="str">
        <f>IF(VLOOKUP(A66,'Input - Effective RE Level'!$A$2:$B$52,2,FALSE)=0,"",VLOOKUP(A66,'Input - Effective RE Level'!$A$2:$B$52,2,FALSE))</f>
        <v/>
      </c>
      <c r="D66" s="24" t="s">
        <v>118</v>
      </c>
      <c r="E66" s="60">
        <f t="shared" si="15"/>
        <v>0.20624999999999999</v>
      </c>
      <c r="F66" s="28">
        <f>E66*VLOOKUP(B66,'Input- EIA 2012 Generation Data'!$A$2:$H$52,8,FALSE)</f>
        <v>10227650.032875001</v>
      </c>
      <c r="G66" s="28">
        <f>(SUMIF('Input- EIA 2012 Generation Data'!$B$2:$B$52,'Calc Method Using MWh'!D66,'Input- EIA 2012 Generation Data'!$H$2:$H$52)*AVERAGEIF($D$16:$D$66,D66,$E$16:$E$66))</f>
        <v>146877467.42893127</v>
      </c>
      <c r="H66" s="28">
        <f ca="1">SUMIF('Input- EIA 2012 Generation Data'!$B$2:$G$52,'Calc Method Using MWh'!D66,'Input- EIA 2012 Generation Data'!$D$2:$D$52)</f>
        <v>68065726.450000003</v>
      </c>
      <c r="I66" s="57">
        <f t="shared" ca="1" si="14"/>
        <v>6.094864111130982E-2</v>
      </c>
      <c r="J66" s="42">
        <f>VLOOKUP(B66,'Input- EIA 2012 Generation Data'!$A$2:$G$52,4,FALSE)</f>
        <v>4369107</v>
      </c>
      <c r="K66" s="28">
        <f t="shared" ca="1" si="6"/>
        <v>4635398.1345199114</v>
      </c>
      <c r="L66" s="28">
        <f t="shared" ref="L66:W66" ca="1" si="18">MIN(K66*(1+$I66),$F66)</f>
        <v>4917919.3518288005</v>
      </c>
      <c r="M66" s="28">
        <f t="shared" ca="1" si="18"/>
        <v>5217659.8534177793</v>
      </c>
      <c r="N66" s="28">
        <f t="shared" ca="1" si="18"/>
        <v>5535669.1312646288</v>
      </c>
      <c r="O66" s="28">
        <f t="shared" ca="1" si="18"/>
        <v>5873060.6424570326</v>
      </c>
      <c r="P66" s="28">
        <f t="shared" ca="1" si="18"/>
        <v>6231015.7077791048</v>
      </c>
      <c r="Q66" s="28">
        <f t="shared" ca="1" si="18"/>
        <v>6610787.6479114676</v>
      </c>
      <c r="R66" s="28">
        <f t="shared" ca="1" si="18"/>
        <v>7013706.1717271032</v>
      </c>
      <c r="S66" s="28">
        <f t="shared" ca="1" si="18"/>
        <v>7441182.0320478771</v>
      </c>
      <c r="T66" s="28">
        <f t="shared" ca="1" si="18"/>
        <v>7894711.9651630903</v>
      </c>
      <c r="U66" s="28">
        <f t="shared" ca="1" si="18"/>
        <v>8375883.931404979</v>
      </c>
      <c r="V66" s="28">
        <f t="shared" ca="1" si="18"/>
        <v>8886382.675130168</v>
      </c>
      <c r="W66" s="28">
        <f t="shared" ca="1" si="18"/>
        <v>9427995.6235744376</v>
      </c>
      <c r="X66" s="24" t="s">
        <v>103</v>
      </c>
      <c r="Y66" s="28">
        <f t="shared" si="7"/>
        <v>4369107</v>
      </c>
      <c r="Z66" s="42">
        <f t="shared" ca="1" si="8"/>
        <v>7329039.5528459894</v>
      </c>
      <c r="AA66" s="42">
        <f t="shared" ca="1" si="9"/>
        <v>9427995.6235744376</v>
      </c>
      <c r="AB66" s="42">
        <f t="shared" ca="1" si="10"/>
        <v>6252847.860227867</v>
      </c>
      <c r="AC66" s="42">
        <f t="shared" ca="1" si="11"/>
        <v>7013706.1717271032</v>
      </c>
      <c r="AD66" s="90"/>
      <c r="AE66" s="91"/>
      <c r="AF66" s="91"/>
      <c r="AG66" s="91"/>
      <c r="AH66" s="91"/>
      <c r="AI66" s="91"/>
      <c r="AJ66" s="90"/>
      <c r="AK66" s="90"/>
      <c r="AL66" s="90"/>
      <c r="AM66" s="90"/>
      <c r="AN66" s="90"/>
      <c r="AP66" s="121"/>
      <c r="AQ66" s="121"/>
      <c r="AR66" s="121"/>
      <c r="AS66" s="121"/>
      <c r="AT66" s="121"/>
      <c r="AU66" s="121"/>
      <c r="AV66" s="121"/>
      <c r="AW66" s="121"/>
      <c r="AX66" s="121"/>
      <c r="AY66" s="121"/>
    </row>
    <row r="67" spans="1:51" s="93" customFormat="1" x14ac:dyDescent="0.25">
      <c r="C67" s="107"/>
      <c r="D67" s="108"/>
      <c r="E67" s="111"/>
      <c r="F67" s="112"/>
      <c r="G67" s="109"/>
      <c r="H67" s="109"/>
      <c r="I67" s="113"/>
      <c r="J67" s="109"/>
      <c r="K67" s="112"/>
      <c r="L67" s="109"/>
      <c r="M67" s="109"/>
      <c r="N67" s="109"/>
      <c r="O67" s="109"/>
      <c r="P67" s="109"/>
      <c r="Q67" s="109"/>
      <c r="R67" s="109"/>
      <c r="S67" s="109"/>
      <c r="T67" s="109"/>
      <c r="U67" s="109"/>
      <c r="V67" s="109"/>
      <c r="W67" s="109"/>
      <c r="X67" s="109"/>
      <c r="Y67" s="109"/>
      <c r="Z67" s="109"/>
      <c r="AA67" s="109"/>
      <c r="AB67" s="109"/>
      <c r="AC67" s="109"/>
      <c r="AE67" s="91"/>
      <c r="AF67" s="91"/>
      <c r="AG67" s="91"/>
      <c r="AH67" s="91"/>
      <c r="AI67" s="91"/>
      <c r="AJ67" s="90"/>
      <c r="AK67" s="90"/>
      <c r="AL67" s="90"/>
      <c r="AM67" s="90"/>
      <c r="AN67" s="90"/>
    </row>
    <row r="68" spans="1:51" x14ac:dyDescent="0.25">
      <c r="H68" s="31"/>
      <c r="AE68" s="91"/>
      <c r="AF68" s="91"/>
      <c r="AG68" s="91"/>
      <c r="AH68" s="91"/>
      <c r="AI68" s="91"/>
      <c r="AJ68" s="90"/>
      <c r="AK68" s="90"/>
      <c r="AL68" s="90"/>
      <c r="AM68" s="90"/>
      <c r="AN68" s="90"/>
    </row>
    <row r="69" spans="1:51" x14ac:dyDescent="0.25">
      <c r="AE69" s="90"/>
      <c r="AF69" s="91"/>
      <c r="AG69" s="90"/>
      <c r="AH69" s="90"/>
      <c r="AI69" s="93"/>
      <c r="AJ69" s="93"/>
      <c r="AK69" s="93"/>
      <c r="AL69" s="93"/>
      <c r="AM69" s="93"/>
      <c r="AN69" s="93"/>
    </row>
    <row r="70" spans="1:51" x14ac:dyDescent="0.25">
      <c r="AE70" s="90"/>
      <c r="AF70" s="91"/>
      <c r="AG70" s="93"/>
      <c r="AH70" s="93"/>
      <c r="AI70" s="90"/>
      <c r="AJ70" s="90"/>
      <c r="AK70" s="90"/>
      <c r="AL70" s="90"/>
      <c r="AM70" s="90"/>
      <c r="AN70" s="90"/>
    </row>
    <row r="71" spans="1:51" x14ac:dyDescent="0.25">
      <c r="AE71" s="93"/>
      <c r="AF71" s="91"/>
      <c r="AG71" s="90"/>
      <c r="AH71" s="90"/>
      <c r="AI71" s="90"/>
      <c r="AJ71" s="90"/>
      <c r="AK71" s="90"/>
      <c r="AL71" s="90"/>
      <c r="AM71" s="90"/>
      <c r="AN71" s="90"/>
    </row>
    <row r="72" spans="1:51" x14ac:dyDescent="0.25">
      <c r="AE72" s="90"/>
      <c r="AF72" s="91"/>
      <c r="AG72" s="90"/>
      <c r="AH72" s="90"/>
      <c r="AI72" s="90"/>
      <c r="AJ72" s="90"/>
      <c r="AK72" s="90"/>
      <c r="AL72" s="90"/>
      <c r="AM72" s="90"/>
      <c r="AN72" s="90"/>
    </row>
    <row r="73" spans="1:51" x14ac:dyDescent="0.25">
      <c r="AE73" s="90"/>
      <c r="AF73" s="91"/>
      <c r="AG73" s="90"/>
      <c r="AH73" s="90"/>
      <c r="AI73" s="90"/>
      <c r="AJ73" s="90"/>
      <c r="AK73" s="90"/>
      <c r="AL73" s="90"/>
      <c r="AM73" s="90"/>
      <c r="AN73" s="90"/>
    </row>
    <row r="74" spans="1:51" x14ac:dyDescent="0.25">
      <c r="AE74" s="90"/>
      <c r="AF74" s="90"/>
      <c r="AG74" s="90"/>
      <c r="AH74" s="90"/>
      <c r="AI74" s="90"/>
      <c r="AJ74" s="90"/>
      <c r="AK74" s="90"/>
      <c r="AL74" s="90"/>
      <c r="AM74" s="90"/>
      <c r="AN74" s="90"/>
    </row>
    <row r="75" spans="1:51" x14ac:dyDescent="0.25">
      <c r="AE75" s="90"/>
      <c r="AF75" s="90"/>
      <c r="AG75" s="90"/>
      <c r="AH75" s="90"/>
      <c r="AI75" s="90"/>
      <c r="AJ75" s="90"/>
      <c r="AK75" s="90"/>
      <c r="AL75" s="90"/>
      <c r="AM75" s="90"/>
      <c r="AN75" s="90"/>
    </row>
    <row r="76" spans="1:51" x14ac:dyDescent="0.25">
      <c r="AE76" s="90"/>
      <c r="AF76" s="90"/>
      <c r="AG76" s="90"/>
      <c r="AH76" s="90"/>
      <c r="AI76" s="90"/>
      <c r="AJ76" s="90"/>
      <c r="AK76" s="90"/>
      <c r="AL76" s="90"/>
      <c r="AM76" s="90"/>
      <c r="AN76" s="90"/>
    </row>
    <row r="77" spans="1:51" x14ac:dyDescent="0.25">
      <c r="AE77" s="90"/>
      <c r="AF77" s="90"/>
      <c r="AG77" s="90"/>
      <c r="AH77" s="90"/>
      <c r="AI77" s="90"/>
      <c r="AJ77" s="90"/>
      <c r="AK77" s="90"/>
      <c r="AL77" s="90"/>
      <c r="AM77" s="90"/>
      <c r="AN77" s="90"/>
    </row>
    <row r="78" spans="1:51" x14ac:dyDescent="0.25">
      <c r="AE78" s="90"/>
      <c r="AF78" s="90"/>
      <c r="AG78" s="90"/>
      <c r="AH78" s="90"/>
      <c r="AI78" s="90"/>
      <c r="AJ78" s="90"/>
      <c r="AK78" s="90"/>
      <c r="AL78" s="90"/>
      <c r="AM78" s="90"/>
      <c r="AN78" s="90"/>
    </row>
    <row r="79" spans="1:51" x14ac:dyDescent="0.25">
      <c r="AE79" s="90"/>
      <c r="AF79" s="90"/>
      <c r="AG79" s="90"/>
      <c r="AH79" s="90"/>
      <c r="AI79" s="90"/>
      <c r="AJ79" s="90"/>
      <c r="AK79" s="90"/>
      <c r="AL79" s="90"/>
      <c r="AM79" s="90"/>
      <c r="AN79" s="90"/>
    </row>
    <row r="80" spans="1:51" x14ac:dyDescent="0.25">
      <c r="AE80" s="90"/>
      <c r="AF80" s="90"/>
      <c r="AG80" s="90"/>
      <c r="AH80" s="90"/>
      <c r="AI80" s="90"/>
      <c r="AJ80" s="90"/>
      <c r="AK80" s="90"/>
      <c r="AL80" s="90"/>
      <c r="AM80" s="90"/>
      <c r="AN80" s="90"/>
    </row>
    <row r="81" spans="31:40" x14ac:dyDescent="0.25">
      <c r="AE81" s="90"/>
      <c r="AF81" s="90"/>
      <c r="AG81" s="90"/>
      <c r="AH81" s="90"/>
      <c r="AI81" s="90"/>
      <c r="AJ81" s="90"/>
      <c r="AK81" s="90"/>
      <c r="AL81" s="90"/>
      <c r="AM81" s="90"/>
      <c r="AN81" s="90"/>
    </row>
    <row r="82" spans="31:40" x14ac:dyDescent="0.25">
      <c r="AE82" s="90"/>
      <c r="AF82" s="90"/>
      <c r="AG82" s="90"/>
      <c r="AH82" s="90"/>
      <c r="AI82" s="90"/>
      <c r="AJ82" s="90"/>
      <c r="AK82" s="90"/>
      <c r="AL82" s="90"/>
      <c r="AM82" s="90"/>
      <c r="AN82" s="90"/>
    </row>
    <row r="83" spans="31:40" x14ac:dyDescent="0.25">
      <c r="AE83" s="90"/>
      <c r="AF83" s="90"/>
      <c r="AG83" s="90"/>
      <c r="AH83" s="90"/>
      <c r="AI83" s="90"/>
      <c r="AJ83" s="90"/>
      <c r="AK83" s="90"/>
      <c r="AL83" s="90"/>
      <c r="AM83" s="90"/>
      <c r="AN83" s="90"/>
    </row>
    <row r="84" spans="31:40" x14ac:dyDescent="0.25">
      <c r="AE84" s="90"/>
      <c r="AF84" s="90"/>
      <c r="AG84" s="90"/>
      <c r="AH84" s="90"/>
      <c r="AI84" s="90"/>
      <c r="AJ84" s="90"/>
      <c r="AK84" s="90"/>
      <c r="AL84" s="90"/>
      <c r="AM84" s="90"/>
      <c r="AN84" s="90"/>
    </row>
    <row r="85" spans="31:40" x14ac:dyDescent="0.25">
      <c r="AE85" s="90"/>
      <c r="AF85" s="90"/>
      <c r="AG85" s="90"/>
      <c r="AH85" s="90"/>
      <c r="AI85" s="90"/>
      <c r="AJ85" s="90"/>
      <c r="AK85" s="90"/>
      <c r="AL85" s="90"/>
      <c r="AM85" s="90"/>
      <c r="AN85" s="90"/>
    </row>
    <row r="86" spans="31:40" x14ac:dyDescent="0.25">
      <c r="AE86" s="90"/>
      <c r="AF86" s="90"/>
      <c r="AG86" s="90"/>
      <c r="AH86" s="90"/>
      <c r="AI86" s="90"/>
      <c r="AJ86" s="90"/>
      <c r="AK86" s="90"/>
      <c r="AL86" s="90"/>
      <c r="AM86" s="90"/>
      <c r="AN86" s="90"/>
    </row>
    <row r="87" spans="31:40" x14ac:dyDescent="0.25">
      <c r="AE87" s="90"/>
      <c r="AF87" s="90"/>
      <c r="AG87" s="90"/>
      <c r="AH87" s="90"/>
      <c r="AI87" s="90"/>
      <c r="AJ87" s="90"/>
      <c r="AK87" s="90"/>
      <c r="AL87" s="90"/>
      <c r="AM87" s="90"/>
      <c r="AN87" s="90"/>
    </row>
    <row r="88" spans="31:40" x14ac:dyDescent="0.25">
      <c r="AE88" s="90"/>
      <c r="AF88" s="90"/>
      <c r="AG88" s="90"/>
      <c r="AH88" s="90"/>
      <c r="AI88" s="90"/>
      <c r="AJ88" s="90"/>
      <c r="AK88" s="90"/>
      <c r="AL88" s="90"/>
      <c r="AM88" s="90"/>
      <c r="AN88" s="90"/>
    </row>
    <row r="89" spans="31:40" x14ac:dyDescent="0.25">
      <c r="AE89" s="90"/>
      <c r="AF89" s="90"/>
      <c r="AG89" s="90"/>
      <c r="AH89" s="90"/>
      <c r="AI89" s="90"/>
      <c r="AJ89" s="90"/>
      <c r="AK89" s="90"/>
      <c r="AL89" s="90"/>
      <c r="AM89" s="90"/>
      <c r="AN89" s="90"/>
    </row>
    <row r="90" spans="31:40" x14ac:dyDescent="0.25">
      <c r="AE90" s="90"/>
      <c r="AF90" s="90"/>
      <c r="AG90" s="90"/>
      <c r="AH90" s="90"/>
      <c r="AI90" s="90"/>
      <c r="AJ90" s="90"/>
      <c r="AK90" s="90"/>
      <c r="AL90" s="90"/>
      <c r="AM90" s="90"/>
      <c r="AN90" s="90"/>
    </row>
    <row r="91" spans="31:40" x14ac:dyDescent="0.25">
      <c r="AE91" s="90"/>
      <c r="AF91" s="90"/>
      <c r="AG91" s="90"/>
      <c r="AH91" s="90"/>
      <c r="AI91" s="90"/>
      <c r="AJ91" s="90"/>
      <c r="AK91" s="90"/>
      <c r="AL91" s="90"/>
      <c r="AM91" s="90"/>
      <c r="AN91" s="90"/>
    </row>
    <row r="92" spans="31:40" x14ac:dyDescent="0.25">
      <c r="AE92" s="90"/>
      <c r="AF92" s="90"/>
      <c r="AG92" s="90"/>
      <c r="AH92" s="90"/>
      <c r="AI92" s="90"/>
      <c r="AJ92" s="90"/>
      <c r="AK92" s="90"/>
      <c r="AL92" s="90"/>
      <c r="AM92" s="90"/>
      <c r="AN92" s="90"/>
    </row>
    <row r="93" spans="31:40" x14ac:dyDescent="0.25">
      <c r="AE93" s="90"/>
      <c r="AF93" s="90"/>
      <c r="AG93" s="90"/>
      <c r="AH93" s="90"/>
      <c r="AI93" s="90"/>
      <c r="AJ93" s="90"/>
      <c r="AK93" s="90"/>
      <c r="AL93" s="90"/>
      <c r="AM93" s="90"/>
      <c r="AN93" s="90"/>
    </row>
    <row r="94" spans="31:40" x14ac:dyDescent="0.25">
      <c r="AE94" s="90"/>
      <c r="AF94" s="90"/>
      <c r="AG94" s="90"/>
      <c r="AH94" s="90"/>
      <c r="AI94" s="90"/>
      <c r="AJ94" s="90"/>
      <c r="AK94" s="90"/>
      <c r="AL94" s="90"/>
      <c r="AM94" s="90"/>
      <c r="AN94" s="90"/>
    </row>
    <row r="95" spans="31:40" x14ac:dyDescent="0.25">
      <c r="AE95" s="90"/>
      <c r="AF95" s="90"/>
      <c r="AG95" s="90"/>
      <c r="AH95" s="90"/>
      <c r="AI95" s="90"/>
      <c r="AJ95" s="90"/>
      <c r="AK95" s="90"/>
      <c r="AL95" s="90"/>
      <c r="AM95" s="90"/>
      <c r="AN95" s="90"/>
    </row>
    <row r="96" spans="31:40" x14ac:dyDescent="0.25">
      <c r="AE96" s="90"/>
      <c r="AF96" s="90"/>
      <c r="AG96" s="90"/>
      <c r="AH96" s="90"/>
      <c r="AI96" s="90"/>
      <c r="AJ96" s="90"/>
      <c r="AK96" s="90"/>
      <c r="AL96" s="90"/>
      <c r="AM96" s="90"/>
      <c r="AN96" s="90"/>
    </row>
    <row r="97" spans="31:40" x14ac:dyDescent="0.25">
      <c r="AE97" s="90"/>
      <c r="AF97" s="90"/>
      <c r="AG97" s="90"/>
      <c r="AH97" s="90"/>
      <c r="AI97" s="90"/>
      <c r="AJ97" s="90"/>
      <c r="AK97" s="90"/>
      <c r="AL97" s="90"/>
      <c r="AM97" s="90"/>
      <c r="AN97" s="90"/>
    </row>
  </sheetData>
  <mergeCells count="17">
    <mergeCell ref="E2:F2"/>
    <mergeCell ref="G2:I2"/>
    <mergeCell ref="G14:I14"/>
    <mergeCell ref="Z14:AA14"/>
    <mergeCell ref="AB14:AC14"/>
    <mergeCell ref="J14:W14"/>
    <mergeCell ref="E14:F14"/>
    <mergeCell ref="E8:F8"/>
    <mergeCell ref="E9:F9"/>
    <mergeCell ref="E10:F10"/>
    <mergeCell ref="E11:F11"/>
    <mergeCell ref="E12:F12"/>
    <mergeCell ref="E3:F3"/>
    <mergeCell ref="E4:F4"/>
    <mergeCell ref="E5:F5"/>
    <mergeCell ref="E6:F6"/>
    <mergeCell ref="E7:F7"/>
  </mergeCells>
  <pageMargins left="0.7" right="0.7" top="0.75" bottom="0.75" header="0.3" footer="0.3"/>
  <pageSetup scale="66" orientation="portrait" r:id="rId1"/>
  <ignoredErrors>
    <ignoredError sqref="I17 E17 I27 Z24:AC24"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7"/>
  <sheetViews>
    <sheetView zoomScaleNormal="100" workbookViewId="0">
      <pane xSplit="1" topLeftCell="B1" activePane="topRight" state="frozen"/>
      <selection pane="topRight" activeCell="A15" sqref="A15"/>
    </sheetView>
  </sheetViews>
  <sheetFormatPr defaultRowHeight="15" x14ac:dyDescent="0.25"/>
  <cols>
    <col min="1" max="1" width="19" customWidth="1"/>
    <col min="2" max="2" width="9.42578125" customWidth="1"/>
    <col min="3" max="3" width="10" style="31" customWidth="1"/>
    <col min="4" max="4" width="16" customWidth="1"/>
    <col min="5" max="5" width="11.42578125" style="31" customWidth="1"/>
    <col min="6" max="6" width="14.140625" style="1" customWidth="1"/>
    <col min="7" max="7" width="12.5703125" style="1" customWidth="1"/>
    <col min="8" max="8" width="13.28515625" style="67" customWidth="1"/>
    <col min="9" max="9" width="7.42578125" style="67" customWidth="1"/>
    <col min="10" max="10" width="7.42578125" style="31" customWidth="1"/>
    <col min="11" max="11" width="12.5703125" style="31" bestFit="1" customWidth="1"/>
    <col min="12" max="22" width="7.42578125" style="31" customWidth="1"/>
    <col min="23" max="23" width="19" customWidth="1"/>
    <col min="24" max="27" width="9.140625" style="31"/>
    <col min="28" max="28" width="9.140625" style="31" customWidth="1"/>
    <col min="29" max="30" width="5" bestFit="1" customWidth="1"/>
    <col min="31" max="31" width="6" bestFit="1" customWidth="1"/>
  </cols>
  <sheetData>
    <row r="1" spans="1:39" x14ac:dyDescent="0.25">
      <c r="D1" s="27" t="s">
        <v>137</v>
      </c>
      <c r="H1" s="31"/>
      <c r="J1" s="67"/>
      <c r="W1" s="1"/>
    </row>
    <row r="2" spans="1:39" x14ac:dyDescent="0.25">
      <c r="D2" s="25" t="s">
        <v>124</v>
      </c>
      <c r="E2" s="29" t="s">
        <v>126</v>
      </c>
      <c r="F2" s="139" t="s">
        <v>127</v>
      </c>
      <c r="G2" s="139"/>
      <c r="H2" s="140"/>
    </row>
    <row r="3" spans="1:39" s="34" customFormat="1" ht="75" x14ac:dyDescent="0.25">
      <c r="A3" s="35"/>
      <c r="B3" s="35"/>
      <c r="C3" s="62"/>
      <c r="D3" s="32" t="s">
        <v>125</v>
      </c>
      <c r="E3" s="64" t="s">
        <v>130</v>
      </c>
      <c r="F3" s="33" t="s">
        <v>162</v>
      </c>
      <c r="G3" s="33" t="s">
        <v>129</v>
      </c>
      <c r="H3" s="65" t="s">
        <v>128</v>
      </c>
      <c r="I3" s="68"/>
      <c r="J3" s="47"/>
      <c r="K3" s="47"/>
      <c r="L3" s="47"/>
      <c r="M3" s="47"/>
      <c r="N3" s="47"/>
      <c r="O3" s="47"/>
      <c r="P3" s="47"/>
      <c r="Q3" s="47"/>
      <c r="R3" s="47"/>
      <c r="S3" s="47"/>
      <c r="T3" s="47"/>
      <c r="U3" s="47"/>
      <c r="V3" s="47"/>
      <c r="X3" s="47"/>
      <c r="Y3" s="47"/>
      <c r="Z3" s="47"/>
      <c r="AA3" s="47"/>
      <c r="AB3" s="47"/>
    </row>
    <row r="4" spans="1:39" x14ac:dyDescent="0.25">
      <c r="D4" s="24" t="s">
        <v>53</v>
      </c>
      <c r="E4" s="30">
        <f t="shared" ref="E4:E10" si="0">AVERAGEIF($D$16:$D$66,D4,$E$16:$E$66)</f>
        <v>9.9999999999999992E-2</v>
      </c>
      <c r="F4" s="28">
        <f t="shared" ref="F4:F11" ca="1" si="1">AVERAGEIF($D$16:$D$66,D4,$F$16:$F$66)</f>
        <v>694641.91200000001</v>
      </c>
      <c r="G4" s="28">
        <f t="shared" ref="G4:G11" ca="1" si="2">AVERAGEIF($D$16:$D$66,D4,$G$16:$G$66)</f>
        <v>39957.990000000005</v>
      </c>
      <c r="H4" s="66">
        <f t="shared" ref="H4:H11" si="3">AVERAGEIF($D$16:$D$66,$D4,H$16:H$66)</f>
        <v>0.11425923647762293</v>
      </c>
      <c r="J4" s="38"/>
      <c r="K4" s="1"/>
    </row>
    <row r="5" spans="1:39" x14ac:dyDescent="0.25">
      <c r="D5" s="24" t="s">
        <v>121</v>
      </c>
      <c r="E5" s="30">
        <f t="shared" si="0"/>
        <v>0.15821500000000002</v>
      </c>
      <c r="F5" s="28">
        <f t="shared" ca="1" si="1"/>
        <v>96368237.239952177</v>
      </c>
      <c r="G5" s="28">
        <f t="shared" ca="1" si="2"/>
        <v>12162663.629999997</v>
      </c>
      <c r="H5" s="66">
        <f t="shared" ca="1" si="3"/>
        <v>0.17259099671408151</v>
      </c>
      <c r="J5" s="38"/>
      <c r="K5" s="1"/>
    </row>
    <row r="6" spans="1:39" x14ac:dyDescent="0.25">
      <c r="D6" s="24" t="s">
        <v>64</v>
      </c>
      <c r="E6" s="30">
        <f t="shared" si="0"/>
        <v>9.9999999999999992E-2</v>
      </c>
      <c r="F6" s="28">
        <f t="shared" ca="1" si="1"/>
        <v>1046926.8679999999</v>
      </c>
      <c r="G6" s="28">
        <f t="shared" ca="1" si="2"/>
        <v>924815.1</v>
      </c>
      <c r="H6" s="66">
        <f t="shared" si="3"/>
        <v>8.6602341648453374E-2</v>
      </c>
      <c r="J6" s="38"/>
      <c r="K6" s="1"/>
    </row>
    <row r="7" spans="1:39" x14ac:dyDescent="0.25">
      <c r="D7" s="24" t="s">
        <v>120</v>
      </c>
      <c r="E7" s="30">
        <f t="shared" si="0"/>
        <v>0.25031738739456966</v>
      </c>
      <c r="F7" s="28">
        <f t="shared" ca="1" si="1"/>
        <v>64245372.586592928</v>
      </c>
      <c r="G7" s="28">
        <f t="shared" ca="1" si="2"/>
        <v>13749515.33</v>
      </c>
      <c r="H7" s="66">
        <f ca="1">AVERAGEIF($D$16:$D$66,$D7,H$16:H$66)</f>
        <v>0.12591132996001231</v>
      </c>
      <c r="J7" s="38"/>
      <c r="K7" s="1"/>
    </row>
    <row r="8" spans="1:39" x14ac:dyDescent="0.25">
      <c r="D8" s="24" t="s">
        <v>122</v>
      </c>
      <c r="E8" s="30">
        <f t="shared" si="0"/>
        <v>0.15114000000000002</v>
      </c>
      <c r="F8" s="28">
        <f t="shared" ca="1" si="1"/>
        <v>110786042.14611124</v>
      </c>
      <c r="G8" s="28">
        <f t="shared" ca="1" si="2"/>
        <v>52058235.869999997</v>
      </c>
      <c r="H8" s="66">
        <f t="shared" ca="1" si="3"/>
        <v>5.9815900091390484E-2</v>
      </c>
      <c r="J8" s="38"/>
    </row>
    <row r="9" spans="1:39" x14ac:dyDescent="0.25">
      <c r="D9" s="24" t="s">
        <v>119</v>
      </c>
      <c r="E9" s="30">
        <f t="shared" si="0"/>
        <v>0.19999999999999998</v>
      </c>
      <c r="F9" s="28">
        <f t="shared" ca="1" si="1"/>
        <v>150952893.01199996</v>
      </c>
      <c r="G9" s="28">
        <f t="shared" ca="1" si="2"/>
        <v>53227248.009999998</v>
      </c>
      <c r="H9" s="66">
        <f t="shared" ca="1" si="3"/>
        <v>8.3486858853496049E-2</v>
      </c>
      <c r="J9" s="38"/>
      <c r="K9" s="1"/>
    </row>
    <row r="10" spans="1:39" x14ac:dyDescent="0.25">
      <c r="D10" s="24" t="s">
        <v>117</v>
      </c>
      <c r="E10" s="30">
        <f t="shared" si="0"/>
        <v>9.9999999999999992E-2</v>
      </c>
      <c r="F10" s="28">
        <f t="shared" ca="1" si="1"/>
        <v>93197688.003999978</v>
      </c>
      <c r="G10" s="28">
        <f t="shared" ca="1" si="2"/>
        <v>18104807.379999999</v>
      </c>
      <c r="H10" s="66">
        <f t="shared" ca="1" si="3"/>
        <v>0.13432975769258282</v>
      </c>
      <c r="J10" s="38"/>
      <c r="K10" s="38"/>
    </row>
    <row r="11" spans="1:39" x14ac:dyDescent="0.25">
      <c r="D11" s="24" t="s">
        <v>118</v>
      </c>
      <c r="E11" s="30">
        <f>AVERAGEIF($D$16:$D$66,D11,$E$16:$E$66)</f>
        <v>0.20624999999999999</v>
      </c>
      <c r="F11" s="28">
        <f t="shared" ca="1" si="1"/>
        <v>146877467.42893127</v>
      </c>
      <c r="G11" s="28">
        <f t="shared" ca="1" si="2"/>
        <v>68065726.450000018</v>
      </c>
      <c r="H11" s="66">
        <f t="shared" ca="1" si="3"/>
        <v>6.094864111130982E-2</v>
      </c>
      <c r="J11" s="38"/>
      <c r="K11" s="1"/>
    </row>
    <row r="12" spans="1:39" s="27" customFormat="1" x14ac:dyDescent="0.25">
      <c r="C12" s="48"/>
      <c r="D12" s="114"/>
      <c r="E12" s="117"/>
      <c r="F12" s="115"/>
      <c r="G12" s="115"/>
      <c r="H12" s="117"/>
      <c r="I12" s="69"/>
      <c r="J12" s="48"/>
      <c r="K12" s="48"/>
      <c r="L12" s="48"/>
      <c r="M12" s="48"/>
      <c r="N12" s="48"/>
      <c r="O12" s="48"/>
      <c r="P12" s="48"/>
      <c r="Q12" s="48"/>
      <c r="R12" s="48"/>
      <c r="S12" s="48"/>
      <c r="T12" s="48"/>
      <c r="U12" s="48"/>
      <c r="V12" s="48"/>
      <c r="X12" s="48"/>
      <c r="Y12" s="48"/>
      <c r="Z12" s="48"/>
      <c r="AA12" s="48"/>
      <c r="AB12" s="48"/>
    </row>
    <row r="13" spans="1:39" x14ac:dyDescent="0.25">
      <c r="A13" s="27" t="s">
        <v>136</v>
      </c>
    </row>
    <row r="14" spans="1:39" s="37" customFormat="1" ht="47.25" customHeight="1" x14ac:dyDescent="0.25">
      <c r="A14" s="36"/>
      <c r="B14" s="36"/>
      <c r="C14" s="63" t="s">
        <v>123</v>
      </c>
      <c r="D14" s="36" t="s">
        <v>124</v>
      </c>
      <c r="E14" s="63" t="s">
        <v>126</v>
      </c>
      <c r="F14" s="129" t="s">
        <v>127</v>
      </c>
      <c r="G14" s="129"/>
      <c r="H14" s="130"/>
      <c r="I14" s="143" t="s">
        <v>147</v>
      </c>
      <c r="J14" s="144"/>
      <c r="K14" s="144"/>
      <c r="L14" s="144"/>
      <c r="M14" s="144"/>
      <c r="N14" s="144"/>
      <c r="O14" s="144"/>
      <c r="P14" s="144"/>
      <c r="Q14" s="144"/>
      <c r="R14" s="144"/>
      <c r="S14" s="144"/>
      <c r="T14" s="144"/>
      <c r="U14" s="144"/>
      <c r="V14" s="145"/>
      <c r="W14" s="36"/>
      <c r="X14" s="49"/>
      <c r="Y14" s="141" t="s">
        <v>154</v>
      </c>
      <c r="Z14" s="142"/>
      <c r="AA14" s="141" t="s">
        <v>155</v>
      </c>
      <c r="AB14" s="142"/>
    </row>
    <row r="15" spans="1:39" s="34" customFormat="1" ht="75" x14ac:dyDescent="0.25">
      <c r="A15" s="32" t="s">
        <v>131</v>
      </c>
      <c r="B15" s="32" t="s">
        <v>104</v>
      </c>
      <c r="C15" s="64" t="s">
        <v>144</v>
      </c>
      <c r="D15" s="32" t="s">
        <v>125</v>
      </c>
      <c r="E15" s="64" t="s">
        <v>130</v>
      </c>
      <c r="F15" s="33" t="s">
        <v>162</v>
      </c>
      <c r="G15" s="33" t="s">
        <v>129</v>
      </c>
      <c r="H15" s="65" t="s">
        <v>128</v>
      </c>
      <c r="I15" s="65" t="s">
        <v>135</v>
      </c>
      <c r="J15" s="70">
        <v>2017</v>
      </c>
      <c r="K15" s="70">
        <f t="shared" ref="K15:V15" si="4">J15+1</f>
        <v>2018</v>
      </c>
      <c r="L15" s="70">
        <f t="shared" si="4"/>
        <v>2019</v>
      </c>
      <c r="M15" s="70">
        <f t="shared" si="4"/>
        <v>2020</v>
      </c>
      <c r="N15" s="70">
        <f t="shared" si="4"/>
        <v>2021</v>
      </c>
      <c r="O15" s="70">
        <f t="shared" si="4"/>
        <v>2022</v>
      </c>
      <c r="P15" s="70">
        <f t="shared" si="4"/>
        <v>2023</v>
      </c>
      <c r="Q15" s="70">
        <f t="shared" si="4"/>
        <v>2024</v>
      </c>
      <c r="R15" s="70">
        <f t="shared" si="4"/>
        <v>2025</v>
      </c>
      <c r="S15" s="70">
        <f t="shared" si="4"/>
        <v>2026</v>
      </c>
      <c r="T15" s="70">
        <f t="shared" si="4"/>
        <v>2027</v>
      </c>
      <c r="U15" s="70">
        <f t="shared" si="4"/>
        <v>2028</v>
      </c>
      <c r="V15" s="70">
        <f t="shared" si="4"/>
        <v>2029</v>
      </c>
      <c r="W15" s="26" t="s">
        <v>52</v>
      </c>
      <c r="X15" s="65" t="s">
        <v>135</v>
      </c>
      <c r="Y15" s="86" t="s">
        <v>156</v>
      </c>
      <c r="Z15" s="86" t="s">
        <v>157</v>
      </c>
      <c r="AA15" s="86" t="s">
        <v>158</v>
      </c>
      <c r="AB15" s="86" t="s">
        <v>159</v>
      </c>
    </row>
    <row r="16" spans="1:39" x14ac:dyDescent="0.25">
      <c r="A16" s="24" t="s">
        <v>54</v>
      </c>
      <c r="B16" s="24" t="s">
        <v>50</v>
      </c>
      <c r="C16" s="30" t="str">
        <f>IF(VLOOKUP(A16,'Input - Effective RE Level'!$A$2:$B$52,2,FALSE)=0,"",VLOOKUP(A16,'Input - Effective RE Level'!$A$2:$B$52,2,FALSE))</f>
        <v/>
      </c>
      <c r="D16" s="24" t="s">
        <v>117</v>
      </c>
      <c r="E16" s="30">
        <f>AVERAGEIF($D$16:$D$66,D16,$C$16:$C$66)</f>
        <v>0.1</v>
      </c>
      <c r="F16" s="28">
        <f ca="1">(SUMIF('Input- EIA 2012 Generation Data'!$B$2:$H$52,D16,'Input- EIA 2012 Generation Data'!$H$2:$H$52)*AVERAGEIF($D$16:$D$66,D16,$E$16:$E$66))</f>
        <v>93197688.003999993</v>
      </c>
      <c r="G16" s="28">
        <f ca="1">SUMIF('Input- EIA 2012 Generation Data'!$B$2:$G$52,'Calc Method Using % 2012 Gen'!D16,'Input- EIA 2012 Generation Data'!$D$2:$D$52)</f>
        <v>18104807.379999999</v>
      </c>
      <c r="H16" s="66">
        <f ca="1">(F16/G16)^(1/13)-1</f>
        <v>0.13432975769258282</v>
      </c>
      <c r="I16" s="66">
        <f>VLOOKUP(B16,'Input- EIA 2012 Generation Data'!$A$2:$G$52,4,FALSE)/VLOOKUP(B16,'Input- EIA 2012 Generation Data'!$A$2:$H$52,8,FALSE)</f>
        <v>1.816181209933293E-2</v>
      </c>
      <c r="J16" s="77">
        <f t="shared" ref="J16:J23" ca="1" si="5">MIN(I16*(1+$H16),$E16,$C$67)</f>
        <v>2.0601483917894542E-2</v>
      </c>
      <c r="K16" s="77">
        <f t="shared" ref="K16:V16" ca="1" si="6">MIN(J16*(1+$H16),$E16)</f>
        <v>2.3368876260692957E-2</v>
      </c>
      <c r="L16" s="77">
        <f t="shared" ca="1" si="6"/>
        <v>2.6508011746339794E-2</v>
      </c>
      <c r="M16" s="77">
        <f t="shared" ca="1" si="6"/>
        <v>3.0068826541137756E-2</v>
      </c>
      <c r="N16" s="77">
        <f t="shared" ca="1" si="6"/>
        <v>3.4107964724509096E-2</v>
      </c>
      <c r="O16" s="77">
        <f t="shared" ca="1" si="6"/>
        <v>3.8689679361339567E-2</v>
      </c>
      <c r="P16" s="77">
        <f t="shared" ca="1" si="6"/>
        <v>4.3886854615152036E-2</v>
      </c>
      <c r="Q16" s="77">
        <f t="shared" ca="1" si="6"/>
        <v>4.9782165161495022E-2</v>
      </c>
      <c r="R16" s="77">
        <f t="shared" ca="1" si="6"/>
        <v>5.6469391345050787E-2</v>
      </c>
      <c r="S16" s="77">
        <f t="shared" ca="1" si="6"/>
        <v>6.4054911001479087E-2</v>
      </c>
      <c r="T16" s="77">
        <f t="shared" ca="1" si="6"/>
        <v>7.2659391675327728E-2</v>
      </c>
      <c r="U16" s="77">
        <f t="shared" ca="1" si="6"/>
        <v>8.2419710153164974E-2</v>
      </c>
      <c r="V16" s="77">
        <f t="shared" ca="1" si="6"/>
        <v>9.3491129847132537E-2</v>
      </c>
      <c r="W16" s="24" t="s">
        <v>54</v>
      </c>
      <c r="X16" s="66">
        <f>I16</f>
        <v>1.816181209933293E-2</v>
      </c>
      <c r="Y16" s="66">
        <f ca="1">AVERAGE(M16:V16)</f>
        <v>5.6563002442578857E-2</v>
      </c>
      <c r="Z16" s="66">
        <f ca="1">V16</f>
        <v>9.3491129847132537E-2</v>
      </c>
      <c r="AA16" s="66">
        <f ca="1">AVERAGE(M16:Q16)</f>
        <v>3.9307098080726702E-2</v>
      </c>
      <c r="AB16" s="66">
        <f ca="1">Q16</f>
        <v>4.9782165161495022E-2</v>
      </c>
      <c r="AC16" s="81"/>
      <c r="AD16" s="81"/>
      <c r="AE16" s="81"/>
      <c r="AF16" s="82"/>
      <c r="AG16" s="82"/>
      <c r="AH16" s="82"/>
      <c r="AI16" s="82"/>
      <c r="AJ16" s="82"/>
      <c r="AK16" s="82"/>
      <c r="AL16" s="82"/>
      <c r="AM16" s="81"/>
    </row>
    <row r="17" spans="1:39" x14ac:dyDescent="0.25">
      <c r="A17" s="24" t="s">
        <v>53</v>
      </c>
      <c r="B17" s="24" t="s">
        <v>51</v>
      </c>
      <c r="C17" s="30" t="str">
        <f>IF(VLOOKUP(A17,'Input - Effective RE Level'!$A$2:$B$52,2,FALSE)=0,"",VLOOKUP(A17,'Input - Effective RE Level'!$A$2:$B$52,2,FALSE))</f>
        <v/>
      </c>
      <c r="D17" s="24" t="s">
        <v>53</v>
      </c>
      <c r="E17" s="30">
        <f>MIN(E5,E8:E11)</f>
        <v>9.9999999999999992E-2</v>
      </c>
      <c r="F17" s="28">
        <f ca="1">(SUMIF('Input- EIA 2012 Generation Data'!$B$2:$H$52,D17,'Input- EIA 2012 Generation Data'!$H$2:$H$52)*AVERAGEIF($D$16:$D$66,D17,$E$16:$E$66))</f>
        <v>694641.91200000001</v>
      </c>
      <c r="G17" s="28">
        <f ca="1">SUMIF('Input- EIA 2012 Generation Data'!$B$2:$G$52,'Calc Method Using % 2012 Gen'!D17,'Input- EIA 2012 Generation Data'!$D$2:$D$52)</f>
        <v>39957.990000000005</v>
      </c>
      <c r="H17" s="79">
        <f>'Input- EIA 2012 Generation Data'!C72</f>
        <v>0.11425923647762293</v>
      </c>
      <c r="I17" s="66">
        <f>VLOOKUP(B17,'Input- EIA 2012 Generation Data'!$A$2:$G$52,4,FALSE)/VLOOKUP(B17,'Input- EIA 2012 Generation Data'!$A$2:$H$52,8,FALSE)</f>
        <v>5.7523148703990095E-3</v>
      </c>
      <c r="J17" s="77">
        <f t="shared" si="5"/>
        <v>6.4095699754696768E-3</v>
      </c>
      <c r="K17" s="77">
        <f t="shared" ref="K17:V17" si="7">MIN(J17*(1+$H17),$E17)</f>
        <v>7.1419225470167385E-3</v>
      </c>
      <c r="L17" s="77">
        <f t="shared" si="7"/>
        <v>7.9579531642211907E-3</v>
      </c>
      <c r="M17" s="77">
        <f t="shared" si="7"/>
        <v>8.867222816689788E-3</v>
      </c>
      <c r="N17" s="77">
        <f t="shared" si="7"/>
        <v>9.8803849254017195E-3</v>
      </c>
      <c r="O17" s="77">
        <f t="shared" si="7"/>
        <v>1.1009310163083135E-2</v>
      </c>
      <c r="P17" s="77">
        <f t="shared" si="7"/>
        <v>1.2267225536462348E-2</v>
      </c>
      <c r="Q17" s="77">
        <f t="shared" si="7"/>
        <v>1.3668869359957335E-2</v>
      </c>
      <c r="R17" s="77">
        <f t="shared" si="7"/>
        <v>1.5230663936538434E-2</v>
      </c>
      <c r="S17" s="77">
        <f t="shared" si="7"/>
        <v>1.6970907968974581E-2</v>
      </c>
      <c r="T17" s="77">
        <f t="shared" si="7"/>
        <v>1.8909990955841623E-2</v>
      </c>
      <c r="U17" s="77">
        <f t="shared" si="7"/>
        <v>2.1070632084254842E-2</v>
      </c>
      <c r="V17" s="77">
        <f t="shared" si="7"/>
        <v>2.3478146418302703E-2</v>
      </c>
      <c r="W17" s="24" t="s">
        <v>53</v>
      </c>
      <c r="X17" s="66">
        <f t="shared" ref="X17:X66" si="8">I17</f>
        <v>5.7523148703990095E-3</v>
      </c>
      <c r="Y17" s="66">
        <f t="shared" ref="Y17:Y66" si="9">AVERAGE(M17:V17)</f>
        <v>1.513533541655065E-2</v>
      </c>
      <c r="Z17" s="66">
        <f t="shared" ref="Z17:Z66" si="10">V17</f>
        <v>2.3478146418302703E-2</v>
      </c>
      <c r="AA17" s="66">
        <f t="shared" ref="AA17:AA66" si="11">AVERAGE(M17:Q17)</f>
        <v>1.1138602560318865E-2</v>
      </c>
      <c r="AB17" s="66">
        <f t="shared" ref="AB17:AB66" si="12">Q17</f>
        <v>1.3668869359957335E-2</v>
      </c>
      <c r="AC17" s="81"/>
      <c r="AD17" s="81"/>
      <c r="AE17" s="81"/>
      <c r="AF17" s="82"/>
      <c r="AG17" s="82"/>
      <c r="AH17" s="82"/>
      <c r="AI17" s="82"/>
      <c r="AJ17" s="82"/>
      <c r="AK17" s="82"/>
      <c r="AL17" s="82"/>
      <c r="AM17" s="81"/>
    </row>
    <row r="18" spans="1:39" x14ac:dyDescent="0.25">
      <c r="A18" s="24" t="s">
        <v>56</v>
      </c>
      <c r="B18" s="24" t="s">
        <v>48</v>
      </c>
      <c r="C18" s="30">
        <f>IF(VLOOKUP(A18,'Input - Effective RE Level'!$A$2:$B$52,2,FALSE)=0,"",VLOOKUP(A18,'Input - Effective RE Level'!$A$2:$B$52,2,FALSE))</f>
        <v>0.1</v>
      </c>
      <c r="D18" s="24" t="s">
        <v>118</v>
      </c>
      <c r="E18" s="30">
        <f>AVERAGEIF($D$16:$D$66,D18,$C$16:$C$66)</f>
        <v>0.20624999999999999</v>
      </c>
      <c r="F18" s="28">
        <f ca="1">(SUMIF('Input- EIA 2012 Generation Data'!$B$2:$H$52,D18,'Input- EIA 2012 Generation Data'!$H$2:$H$52)*AVERAGEIF($D$16:$D$66,D18,$E$16:$E$66))</f>
        <v>146877467.42893127</v>
      </c>
      <c r="G18" s="28">
        <f ca="1">SUMIF('Input- EIA 2012 Generation Data'!$B$2:$G$52,'Calc Method Using % 2012 Gen'!D18,'Input- EIA 2012 Generation Data'!$D$2:$D$52)</f>
        <v>68065726.450000003</v>
      </c>
      <c r="H18" s="66">
        <f t="shared" ref="H18:H26" ca="1" si="13">(F18/G18)^(1/13)-1</f>
        <v>6.094864111130982E-2</v>
      </c>
      <c r="I18" s="66">
        <f>VLOOKUP(B18,'Input- EIA 2012 Generation Data'!$A$2:$G$52,4,FALSE)/VLOOKUP(B18,'Input- EIA 2012 Generation Data'!$A$2:$H$52,8,FALSE)</f>
        <v>1.786684295286714E-2</v>
      </c>
      <c r="J18" s="77">
        <f t="shared" ca="1" si="5"/>
        <v>1.8955802751793576E-2</v>
      </c>
      <c r="K18" s="77">
        <f t="shared" ref="K18:V18" ca="1" si="14">MIN(J18*(1+$H18),$E18)</f>
        <v>2.0111133170689421E-2</v>
      </c>
      <c r="L18" s="77">
        <f t="shared" ca="1" si="14"/>
        <v>2.1336879408651529E-2</v>
      </c>
      <c r="M18" s="77">
        <f t="shared" ca="1" si="14"/>
        <v>2.2637333214164727E-2</v>
      </c>
      <c r="N18" s="77">
        <f t="shared" ca="1" si="14"/>
        <v>2.4017047911951986E-2</v>
      </c>
      <c r="O18" s="77">
        <f t="shared" ca="1" si="14"/>
        <v>2.5480854345690682E-2</v>
      </c>
      <c r="P18" s="77">
        <f t="shared" ca="1" si="14"/>
        <v>2.7033877792415742E-2</v>
      </c>
      <c r="Q18" s="77">
        <f t="shared" ca="1" si="14"/>
        <v>2.8681555907832699E-2</v>
      </c>
      <c r="R18" s="77">
        <f t="shared" ca="1" si="14"/>
        <v>3.0429657765373163E-2</v>
      </c>
      <c r="S18" s="77">
        <f t="shared" ca="1" si="14"/>
        <v>3.2284304055654876E-2</v>
      </c>
      <c r="T18" s="77">
        <f t="shared" ca="1" si="14"/>
        <v>3.425198851707139E-2</v>
      </c>
      <c r="U18" s="77">
        <f t="shared" ca="1" si="14"/>
        <v>3.633960067254708E-2</v>
      </c>
      <c r="V18" s="77">
        <f t="shared" ca="1" si="14"/>
        <v>3.8554449952066465E-2</v>
      </c>
      <c r="W18" s="24" t="s">
        <v>56</v>
      </c>
      <c r="X18" s="66">
        <f t="shared" si="8"/>
        <v>1.786684295286714E-2</v>
      </c>
      <c r="Y18" s="66">
        <f t="shared" ca="1" si="9"/>
        <v>2.9971067013476883E-2</v>
      </c>
      <c r="Z18" s="66">
        <f t="shared" ca="1" si="10"/>
        <v>3.8554449952066465E-2</v>
      </c>
      <c r="AA18" s="66">
        <f t="shared" ca="1" si="11"/>
        <v>2.5570133834411167E-2</v>
      </c>
      <c r="AB18" s="66">
        <f t="shared" ca="1" si="12"/>
        <v>2.8681555907832699E-2</v>
      </c>
      <c r="AC18" s="81"/>
      <c r="AD18" s="81"/>
      <c r="AE18" s="81"/>
      <c r="AF18" s="82"/>
      <c r="AG18" s="82"/>
      <c r="AH18" s="82"/>
      <c r="AI18" s="82"/>
      <c r="AJ18" s="82"/>
      <c r="AK18" s="82"/>
      <c r="AL18" s="82"/>
      <c r="AM18" s="81"/>
    </row>
    <row r="19" spans="1:39" x14ac:dyDescent="0.25">
      <c r="A19" s="24" t="s">
        <v>55</v>
      </c>
      <c r="B19" s="24" t="s">
        <v>49</v>
      </c>
      <c r="C19" s="30" t="str">
        <f>IF(VLOOKUP(A19,'Input - Effective RE Level'!$A$2:$B$52,2,FALSE)=0,"",VLOOKUP(A19,'Input - Effective RE Level'!$A$2:$B$52,2,FALSE))</f>
        <v/>
      </c>
      <c r="D19" s="24" t="s">
        <v>119</v>
      </c>
      <c r="E19" s="30">
        <f t="shared" ref="E19:E26" si="15">AVERAGEIF($D$16:$D$66,D19,$C$16:$C$66)</f>
        <v>0.2</v>
      </c>
      <c r="F19" s="28">
        <f ca="1">(SUMIF('Input- EIA 2012 Generation Data'!$B$2:$H$52,D19,'Input- EIA 2012 Generation Data'!$H$2:$H$52)*AVERAGEIF($D$16:$D$66,D19,$E$16:$E$66))</f>
        <v>150952893.01199996</v>
      </c>
      <c r="G19" s="28">
        <f ca="1">SUMIF('Input- EIA 2012 Generation Data'!$B$2:$G$52,'Calc Method Using % 2012 Gen'!D19,'Input- EIA 2012 Generation Data'!$D$2:$D$52)</f>
        <v>53227248.009999998</v>
      </c>
      <c r="H19" s="66">
        <f t="shared" ca="1" si="13"/>
        <v>8.3486858853496049E-2</v>
      </c>
      <c r="I19" s="66">
        <f>VLOOKUP(B19,'Input- EIA 2012 Generation Data'!$A$2:$G$52,4,FALSE)/VLOOKUP(B19,'Input- EIA 2012 Generation Data'!$A$2:$H$52,8,FALSE)</f>
        <v>2.554192374958781E-2</v>
      </c>
      <c r="J19" s="77">
        <f t="shared" ca="1" si="5"/>
        <v>2.7674338732516405E-2</v>
      </c>
      <c r="K19" s="77">
        <f t="shared" ref="K19:V19" ca="1" si="16">MIN(J19*(1+$H19),$E19)</f>
        <v>2.9984782344141842E-2</v>
      </c>
      <c r="L19" s="77">
        <f t="shared" ca="1" si="16"/>
        <v>3.2488117635460015E-2</v>
      </c>
      <c r="M19" s="77">
        <f t="shared" ca="1" si="16"/>
        <v>3.5200448526907444E-2</v>
      </c>
      <c r="N19" s="77">
        <f t="shared" ca="1" si="16"/>
        <v>3.8139223404653116E-2</v>
      </c>
      <c r="O19" s="77">
        <f t="shared" ca="1" si="16"/>
        <v>4.1323347365819343E-2</v>
      </c>
      <c r="P19" s="77">
        <f t="shared" ca="1" si="16"/>
        <v>4.4773303834703487E-2</v>
      </c>
      <c r="Q19" s="77">
        <f t="shared" ca="1" si="16"/>
        <v>4.8511286332356074E-2</v>
      </c>
      <c r="R19" s="77">
        <f t="shared" ca="1" si="16"/>
        <v>5.2561341247187018E-2</v>
      </c>
      <c r="S19" s="77">
        <f t="shared" ca="1" si="16"/>
        <v>5.694952252504136E-2</v>
      </c>
      <c r="T19" s="77">
        <f t="shared" ca="1" si="16"/>
        <v>6.1704059273863479E-2</v>
      </c>
      <c r="U19" s="77">
        <f t="shared" ca="1" si="16"/>
        <v>6.6855537361148271E-2</v>
      </c>
      <c r="V19" s="77">
        <f t="shared" ca="1" si="16"/>
        <v>7.2437096172393092E-2</v>
      </c>
      <c r="W19" s="24" t="s">
        <v>55</v>
      </c>
      <c r="X19" s="66">
        <f t="shared" si="8"/>
        <v>2.554192374958781E-2</v>
      </c>
      <c r="Y19" s="66">
        <f t="shared" ca="1" si="9"/>
        <v>5.1845516604407269E-2</v>
      </c>
      <c r="Z19" s="66">
        <f t="shared" ca="1" si="10"/>
        <v>7.2437096172393092E-2</v>
      </c>
      <c r="AA19" s="66">
        <f t="shared" ca="1" si="11"/>
        <v>4.1589521892887893E-2</v>
      </c>
      <c r="AB19" s="66">
        <f t="shared" ca="1" si="12"/>
        <v>4.8511286332356074E-2</v>
      </c>
      <c r="AC19" s="81"/>
      <c r="AD19" s="81"/>
      <c r="AE19" s="81"/>
      <c r="AF19" s="82"/>
      <c r="AG19" s="82"/>
      <c r="AH19" s="82"/>
      <c r="AI19" s="82"/>
      <c r="AJ19" s="82"/>
      <c r="AK19" s="82"/>
      <c r="AL19" s="82"/>
      <c r="AM19" s="81"/>
    </row>
    <row r="20" spans="1:39" x14ac:dyDescent="0.25">
      <c r="A20" s="24" t="s">
        <v>57</v>
      </c>
      <c r="B20" s="24" t="s">
        <v>47</v>
      </c>
      <c r="C20" s="30">
        <f>IF(VLOOKUP(A20,'Input - Effective RE Level'!$A$2:$B$52,2,FALSE)=0,"",VLOOKUP(A20,'Input - Effective RE Level'!$A$2:$B$52,2,FALSE))</f>
        <v>0.33</v>
      </c>
      <c r="D20" s="24" t="s">
        <v>118</v>
      </c>
      <c r="E20" s="30">
        <f t="shared" si="15"/>
        <v>0.20624999999999999</v>
      </c>
      <c r="F20" s="28">
        <f ca="1">(SUMIF('Input- EIA 2012 Generation Data'!$B$2:$H$52,D20,'Input- EIA 2012 Generation Data'!$H$2:$H$52)*AVERAGEIF($D$16:$D$66,D20,$E$16:$E$66))</f>
        <v>146877467.42893127</v>
      </c>
      <c r="G20" s="28">
        <f ca="1">SUMIF('Input- EIA 2012 Generation Data'!$B$2:$G$52,'Calc Method Using % 2012 Gen'!D20,'Input- EIA 2012 Generation Data'!$D$2:$D$52)</f>
        <v>68065726.450000003</v>
      </c>
      <c r="H20" s="66">
        <f t="shared" ca="1" si="13"/>
        <v>6.094864111130982E-2</v>
      </c>
      <c r="I20" s="66">
        <f>VLOOKUP(B20,'Input- EIA 2012 Generation Data'!$A$2:$G$52,4,FALSE)/VLOOKUP(B20,'Input- EIA 2012 Generation Data'!$A$2:$H$52,8,FALSE)</f>
        <v>0.15019577442913759</v>
      </c>
      <c r="J20" s="77">
        <f t="shared" ca="1" si="5"/>
        <v>0.15935000278125433</v>
      </c>
      <c r="K20" s="77">
        <f t="shared" ref="K20:V20" ca="1" si="17">MIN(J20*(1+$H20),$E20)</f>
        <v>0.16906216891185522</v>
      </c>
      <c r="L20" s="77">
        <f t="shared" ca="1" si="17"/>
        <v>0.17936627837036351</v>
      </c>
      <c r="M20" s="77">
        <f t="shared" ca="1" si="17"/>
        <v>0.19029840929823008</v>
      </c>
      <c r="N20" s="77">
        <f t="shared" ca="1" si="17"/>
        <v>0.20189683875060105</v>
      </c>
      <c r="O20" s="77">
        <f t="shared" ca="1" si="17"/>
        <v>0.20624999999999999</v>
      </c>
      <c r="P20" s="77">
        <f t="shared" ca="1" si="17"/>
        <v>0.20624999999999999</v>
      </c>
      <c r="Q20" s="77">
        <f t="shared" ca="1" si="17"/>
        <v>0.20624999999999999</v>
      </c>
      <c r="R20" s="77">
        <f t="shared" ca="1" si="17"/>
        <v>0.20624999999999999</v>
      </c>
      <c r="S20" s="77">
        <f t="shared" ca="1" si="17"/>
        <v>0.20624999999999999</v>
      </c>
      <c r="T20" s="77">
        <f t="shared" ca="1" si="17"/>
        <v>0.20624999999999999</v>
      </c>
      <c r="U20" s="77">
        <f t="shared" ca="1" si="17"/>
        <v>0.20624999999999999</v>
      </c>
      <c r="V20" s="77">
        <f t="shared" ca="1" si="17"/>
        <v>0.20624999999999999</v>
      </c>
      <c r="W20" s="24" t="s">
        <v>57</v>
      </c>
      <c r="X20" s="66">
        <f t="shared" si="8"/>
        <v>0.15019577442913759</v>
      </c>
      <c r="Y20" s="66">
        <f t="shared" ca="1" si="9"/>
        <v>0.20421952480488312</v>
      </c>
      <c r="Z20" s="66">
        <f t="shared" ca="1" si="10"/>
        <v>0.20624999999999999</v>
      </c>
      <c r="AA20" s="66">
        <f t="shared" ca="1" si="11"/>
        <v>0.20218904960976625</v>
      </c>
      <c r="AB20" s="66">
        <f t="shared" ca="1" si="12"/>
        <v>0.20624999999999999</v>
      </c>
      <c r="AC20" s="81"/>
      <c r="AD20" s="81"/>
      <c r="AE20" s="81"/>
      <c r="AF20" s="82"/>
      <c r="AG20" s="82"/>
      <c r="AH20" s="82"/>
      <c r="AI20" s="82"/>
      <c r="AJ20" s="82"/>
      <c r="AK20" s="82"/>
      <c r="AL20" s="82"/>
      <c r="AM20" s="81"/>
    </row>
    <row r="21" spans="1:39" x14ac:dyDescent="0.25">
      <c r="A21" s="24" t="s">
        <v>58</v>
      </c>
      <c r="B21" s="24" t="s">
        <v>46</v>
      </c>
      <c r="C21" s="30">
        <f>IF(VLOOKUP(A21,'Input - Effective RE Level'!$A$2:$B$52,2,FALSE)=0,"",VLOOKUP(A21,'Input - Effective RE Level'!$A$2:$B$52,2,FALSE))</f>
        <v>0.30000000000000004</v>
      </c>
      <c r="D21" s="24" t="s">
        <v>118</v>
      </c>
      <c r="E21" s="30">
        <f t="shared" si="15"/>
        <v>0.20624999999999999</v>
      </c>
      <c r="F21" s="28">
        <f ca="1">(SUMIF('Input- EIA 2012 Generation Data'!$B$2:$H$52,D21,'Input- EIA 2012 Generation Data'!$H$2:$H$52)*AVERAGEIF($D$16:$D$66,D21,$E$16:$E$66))</f>
        <v>146877467.42893127</v>
      </c>
      <c r="G21" s="28">
        <f ca="1">SUMIF('Input- EIA 2012 Generation Data'!$B$2:$G$52,'Calc Method Using % 2012 Gen'!D21,'Input- EIA 2012 Generation Data'!$D$2:$D$52)</f>
        <v>68065726.450000003</v>
      </c>
      <c r="H21" s="66">
        <f t="shared" ca="1" si="13"/>
        <v>6.094864111130982E-2</v>
      </c>
      <c r="I21" s="66">
        <f>VLOOKUP(B21,'Input- EIA 2012 Generation Data'!$A$2:$G$52,4,FALSE)/VLOOKUP(B21,'Input- EIA 2012 Generation Data'!$A$2:$H$52,8,FALSE)</f>
        <v>0.1178171702032841</v>
      </c>
      <c r="J21" s="77">
        <f t="shared" ca="1" si="5"/>
        <v>0.12499796662675416</v>
      </c>
      <c r="K21" s="77">
        <f t="shared" ref="K21:V21" ca="1" si="18">MIN(J21*(1+$H21),$E21)</f>
        <v>0.1326164228343317</v>
      </c>
      <c r="L21" s="77">
        <f t="shared" ca="1" si="18"/>
        <v>0.1406992135951271</v>
      </c>
      <c r="M21" s="77">
        <f t="shared" ca="1" si="18"/>
        <v>0.14927463946918004</v>
      </c>
      <c r="N21" s="77">
        <f t="shared" ca="1" si="18"/>
        <v>0.15837272589720727</v>
      </c>
      <c r="O21" s="77">
        <f t="shared" ca="1" si="18"/>
        <v>0.16802532832973599</v>
      </c>
      <c r="P21" s="77">
        <f t="shared" ca="1" si="18"/>
        <v>0.17826624376371505</v>
      </c>
      <c r="Q21" s="77">
        <f t="shared" ca="1" si="18"/>
        <v>0.18913132907713098</v>
      </c>
      <c r="R21" s="77">
        <f t="shared" ca="1" si="18"/>
        <v>0.20065862657595807</v>
      </c>
      <c r="S21" s="77">
        <f t="shared" ca="1" si="18"/>
        <v>0.20624999999999999</v>
      </c>
      <c r="T21" s="77">
        <f t="shared" ca="1" si="18"/>
        <v>0.20624999999999999</v>
      </c>
      <c r="U21" s="77">
        <f t="shared" ca="1" si="18"/>
        <v>0.20624999999999999</v>
      </c>
      <c r="V21" s="77">
        <f t="shared" ca="1" si="18"/>
        <v>0.20624999999999999</v>
      </c>
      <c r="W21" s="24" t="s">
        <v>58</v>
      </c>
      <c r="X21" s="66">
        <f t="shared" si="8"/>
        <v>0.1178171702032841</v>
      </c>
      <c r="Y21" s="66">
        <f t="shared" ca="1" si="9"/>
        <v>0.18687288931129276</v>
      </c>
      <c r="Z21" s="66">
        <f t="shared" ca="1" si="10"/>
        <v>0.20624999999999999</v>
      </c>
      <c r="AA21" s="66">
        <f t="shared" ca="1" si="11"/>
        <v>0.16861405330739387</v>
      </c>
      <c r="AB21" s="66">
        <f t="shared" ca="1" si="12"/>
        <v>0.18913132907713098</v>
      </c>
      <c r="AC21" s="81"/>
      <c r="AD21" s="81"/>
      <c r="AE21" s="81"/>
      <c r="AF21" s="82"/>
      <c r="AG21" s="82"/>
      <c r="AH21" s="82"/>
      <c r="AI21" s="82"/>
      <c r="AJ21" s="82"/>
      <c r="AK21" s="82"/>
      <c r="AL21" s="82"/>
      <c r="AM21" s="81"/>
    </row>
    <row r="22" spans="1:39" x14ac:dyDescent="0.25">
      <c r="A22" s="24" t="s">
        <v>59</v>
      </c>
      <c r="B22" s="24" t="s">
        <v>45</v>
      </c>
      <c r="C22" s="30">
        <f>IF(VLOOKUP(A22,'Input - Effective RE Level'!$A$2:$B$52,2,FALSE)=0,"",VLOOKUP(A22,'Input - Effective RE Level'!$A$2:$B$52,2,FALSE))</f>
        <v>0.23</v>
      </c>
      <c r="D22" s="24" t="s">
        <v>120</v>
      </c>
      <c r="E22" s="30">
        <f t="shared" si="15"/>
        <v>0.25031738739456966</v>
      </c>
      <c r="F22" s="28">
        <f ca="1">(SUMIF('Input- EIA 2012 Generation Data'!$B$2:$H$52,D22,'Input- EIA 2012 Generation Data'!$H$2:$H$52)*AVERAGEIF($D$16:$D$66,D22,$E$16:$E$66))</f>
        <v>64245372.586592935</v>
      </c>
      <c r="G22" s="28">
        <f ca="1">SUMIF('Input- EIA 2012 Generation Data'!$B$2:$G$52,'Calc Method Using % 2012 Gen'!D22,'Input- EIA 2012 Generation Data'!$D$2:$D$52)</f>
        <v>13749515.33</v>
      </c>
      <c r="H22" s="66">
        <f t="shared" ca="1" si="13"/>
        <v>0.12591132996001231</v>
      </c>
      <c r="I22" s="66">
        <f>VLOOKUP(B22,'Input- EIA 2012 Generation Data'!$A$2:$G$52,4,FALSE)/VLOOKUP(B22,'Input- EIA 2012 Generation Data'!$A$2:$H$52,8,FALSE)</f>
        <v>1.8454325435935406E-2</v>
      </c>
      <c r="J22" s="77">
        <f t="shared" ca="1" si="5"/>
        <v>2.0777934095088917E-2</v>
      </c>
      <c r="K22" s="77">
        <f t="shared" ref="K22:V22" ca="1" si="19">MIN(J22*(1+$H22),$E22)</f>
        <v>2.3394111410823048E-2</v>
      </c>
      <c r="L22" s="77">
        <f t="shared" ca="1" si="19"/>
        <v>2.6339695091792476E-2</v>
      </c>
      <c r="M22" s="77">
        <f t="shared" ca="1" si="19"/>
        <v>2.9656161131541275E-2</v>
      </c>
      <c r="N22" s="77">
        <f t="shared" ca="1" si="19"/>
        <v>3.3390207821122057E-2</v>
      </c>
      <c r="O22" s="77">
        <f t="shared" ca="1" si="19"/>
        <v>3.759441329552074E-2</v>
      </c>
      <c r="P22" s="77">
        <f t="shared" ca="1" si="19"/>
        <v>4.2327975872626128E-2</v>
      </c>
      <c r="Q22" s="77">
        <f t="shared" ca="1" si="19"/>
        <v>4.7657547609263794E-2</v>
      </c>
      <c r="R22" s="77">
        <f t="shared" ca="1" si="19"/>
        <v>5.3658172811378801E-2</v>
      </c>
      <c r="S22" s="77">
        <f t="shared" ca="1" si="19"/>
        <v>6.0414344713283677E-2</v>
      </c>
      <c r="T22" s="77">
        <f t="shared" ca="1" si="19"/>
        <v>6.8021195204795867E-2</v>
      </c>
      <c r="U22" s="77">
        <f t="shared" ca="1" si="19"/>
        <v>7.6585834358501331E-2</v>
      </c>
      <c r="V22" s="77">
        <f t="shared" ca="1" si="19"/>
        <v>8.6228858618677434E-2</v>
      </c>
      <c r="W22" s="24" t="s">
        <v>59</v>
      </c>
      <c r="X22" s="66">
        <f t="shared" si="8"/>
        <v>1.8454325435935406E-2</v>
      </c>
      <c r="Y22" s="66">
        <f t="shared" ca="1" si="9"/>
        <v>5.3553471143671115E-2</v>
      </c>
      <c r="Z22" s="66">
        <f t="shared" ca="1" si="10"/>
        <v>8.6228858618677434E-2</v>
      </c>
      <c r="AA22" s="66">
        <f t="shared" ca="1" si="11"/>
        <v>3.8125261146014798E-2</v>
      </c>
      <c r="AB22" s="66">
        <f t="shared" ca="1" si="12"/>
        <v>4.7657547609263794E-2</v>
      </c>
      <c r="AC22" s="81"/>
      <c r="AD22" s="81"/>
      <c r="AE22" s="81"/>
      <c r="AF22" s="82"/>
      <c r="AG22" s="82"/>
      <c r="AH22" s="82"/>
      <c r="AI22" s="82"/>
      <c r="AJ22" s="82"/>
      <c r="AK22" s="82"/>
      <c r="AL22" s="82"/>
      <c r="AM22" s="81"/>
    </row>
    <row r="23" spans="1:39" x14ac:dyDescent="0.25">
      <c r="A23" s="24" t="s">
        <v>61</v>
      </c>
      <c r="B23" s="24" t="s">
        <v>43</v>
      </c>
      <c r="C23" s="30">
        <f>IF(VLOOKUP(A23,'Input - Effective RE Level'!$A$2:$B$52,2,FALSE)=0,"",VLOOKUP(A23,'Input - Effective RE Level'!$A$2:$B$52,2,FALSE))</f>
        <v>0.19</v>
      </c>
      <c r="D23" s="24" t="s">
        <v>121</v>
      </c>
      <c r="E23" s="30">
        <f t="shared" si="15"/>
        <v>0.15821500000000002</v>
      </c>
      <c r="F23" s="28">
        <f ca="1">(SUMIF('Input- EIA 2012 Generation Data'!$B$2:$H$52,D23,'Input- EIA 2012 Generation Data'!$H$2:$H$52)*AVERAGEIF($D$16:$D$66,D23,$E$16:$E$66))</f>
        <v>96368237.239952162</v>
      </c>
      <c r="G23" s="28">
        <f ca="1">SUMIF('Input- EIA 2012 Generation Data'!$B$2:$G$52,'Calc Method Using % 2012 Gen'!D23,'Input- EIA 2012 Generation Data'!$D$2:$D$52)</f>
        <v>12162663.629999999</v>
      </c>
      <c r="H23" s="66">
        <f t="shared" ca="1" si="13"/>
        <v>0.17259099671408151</v>
      </c>
      <c r="I23" s="66">
        <f>VLOOKUP(B23,'Input- EIA 2012 Generation Data'!$A$2:$G$52,4,FALSE)/VLOOKUP(B23,'Input- EIA 2012 Generation Data'!$A$2:$H$52,8,FALSE)</f>
        <v>1.5178974376437246E-2</v>
      </c>
      <c r="J23" s="77">
        <f t="shared" ca="1" si="5"/>
        <v>1.7798728693164054E-2</v>
      </c>
      <c r="K23" s="77">
        <f t="shared" ref="K23:V23" ca="1" si="20">MIN(J23*(1+$H23),$E23)</f>
        <v>2.0870629018560759E-2</v>
      </c>
      <c r="L23" s="77">
        <f t="shared" ca="1" si="20"/>
        <v>2.4472711682923993E-2</v>
      </c>
      <c r="M23" s="77">
        <f t="shared" ca="1" si="20"/>
        <v>2.8696481384576193E-2</v>
      </c>
      <c r="N23" s="77">
        <f t="shared" ca="1" si="20"/>
        <v>3.3649235708927284E-2</v>
      </c>
      <c r="O23" s="77">
        <f t="shared" ca="1" si="20"/>
        <v>3.9456790838598106E-2</v>
      </c>
      <c r="P23" s="77">
        <f t="shared" ca="1" si="20"/>
        <v>4.6266677696570793E-2</v>
      </c>
      <c r="Q23" s="77">
        <f t="shared" ca="1" si="20"/>
        <v>5.4251889714871111E-2</v>
      </c>
      <c r="R23" s="77">
        <f t="shared" ca="1" si="20"/>
        <v>6.3615277434383138E-2</v>
      </c>
      <c r="S23" s="77">
        <f t="shared" ca="1" si="20"/>
        <v>7.459470157302614E-2</v>
      </c>
      <c r="T23" s="77">
        <f t="shared" ca="1" si="20"/>
        <v>8.7469075467104182E-2</v>
      </c>
      <c r="U23" s="77">
        <f t="shared" ca="1" si="20"/>
        <v>0.10256545038363091</v>
      </c>
      <c r="V23" s="77">
        <f t="shared" ca="1" si="20"/>
        <v>0.12026732369377044</v>
      </c>
      <c r="W23" s="24" t="s">
        <v>61</v>
      </c>
      <c r="X23" s="66">
        <f t="shared" si="8"/>
        <v>1.5178974376437246E-2</v>
      </c>
      <c r="Y23" s="66">
        <f t="shared" ca="1" si="9"/>
        <v>6.5083290389545828E-2</v>
      </c>
      <c r="Z23" s="66">
        <f t="shared" ca="1" si="10"/>
        <v>0.12026732369377044</v>
      </c>
      <c r="AA23" s="66">
        <f t="shared" ca="1" si="11"/>
        <v>4.0464215068708696E-2</v>
      </c>
      <c r="AB23" s="66">
        <f t="shared" ca="1" si="12"/>
        <v>5.4251889714871111E-2</v>
      </c>
      <c r="AC23" s="81"/>
      <c r="AD23" s="81"/>
      <c r="AE23" s="81"/>
      <c r="AF23" s="82"/>
      <c r="AG23" s="82"/>
      <c r="AH23" s="82"/>
      <c r="AI23" s="82"/>
      <c r="AJ23" s="82"/>
      <c r="AK23" s="82"/>
      <c r="AL23" s="82"/>
      <c r="AM23" s="81"/>
    </row>
    <row r="24" spans="1:39" x14ac:dyDescent="0.25">
      <c r="A24" s="24" t="s">
        <v>60</v>
      </c>
      <c r="B24" s="24" t="s">
        <v>44</v>
      </c>
      <c r="C24" s="30">
        <f>IF(VLOOKUP(A24,'Input - Effective RE Level'!$A$2:$B$52,2,FALSE)=0,"",VLOOKUP(A24,'Input - Effective RE Level'!$A$2:$B$52,2,FALSE))</f>
        <v>0.2</v>
      </c>
      <c r="D24" s="24" t="s">
        <v>121</v>
      </c>
      <c r="E24" s="30">
        <f t="shared" si="15"/>
        <v>0.15821500000000002</v>
      </c>
      <c r="F24" s="28">
        <f ca="1">(SUMIF('Input- EIA 2012 Generation Data'!$B$2:$H$52,D24,'Input- EIA 2012 Generation Data'!$H$2:$H$52)*AVERAGEIF($D$16:$D$66,D24,$E$16:$E$66))</f>
        <v>96368237.239952162</v>
      </c>
      <c r="G24" s="28">
        <f ca="1">SUMIF('Input- EIA 2012 Generation Data'!$B$2:$G$52,'Calc Method Using % 2012 Gen'!D24,'Input- EIA 2012 Generation Data'!$D$2:$D$52)</f>
        <v>12162663.629999999</v>
      </c>
      <c r="H24" s="66">
        <f t="shared" ca="1" si="13"/>
        <v>0.17259099671408151</v>
      </c>
      <c r="I24" s="66">
        <f>VLOOKUP(B24,'Input- EIA 2012 Generation Data'!$A$2:$G$52,4,FALSE)/VLOOKUP(B24,'Input- EIA 2012 Generation Data'!$A$2:$H$52,8,FALSE)</f>
        <v>0</v>
      </c>
      <c r="J24" s="88" t="s">
        <v>139</v>
      </c>
      <c r="K24" s="88" t="s">
        <v>139</v>
      </c>
      <c r="L24" s="88" t="s">
        <v>139</v>
      </c>
      <c r="M24" s="88" t="s">
        <v>139</v>
      </c>
      <c r="N24" s="88" t="s">
        <v>139</v>
      </c>
      <c r="O24" s="88" t="s">
        <v>139</v>
      </c>
      <c r="P24" s="88" t="s">
        <v>139</v>
      </c>
      <c r="Q24" s="88" t="s">
        <v>139</v>
      </c>
      <c r="R24" s="88" t="s">
        <v>139</v>
      </c>
      <c r="S24" s="88" t="s">
        <v>139</v>
      </c>
      <c r="T24" s="88" t="s">
        <v>139</v>
      </c>
      <c r="U24" s="88" t="s">
        <v>139</v>
      </c>
      <c r="V24" s="88" t="s">
        <v>139</v>
      </c>
      <c r="W24" s="24" t="s">
        <v>60</v>
      </c>
      <c r="X24" s="88" t="s">
        <v>139</v>
      </c>
      <c r="Y24" s="88" t="s">
        <v>139</v>
      </c>
      <c r="Z24" s="88" t="s">
        <v>139</v>
      </c>
      <c r="AA24" s="88" t="s">
        <v>139</v>
      </c>
      <c r="AB24" s="88" t="s">
        <v>139</v>
      </c>
      <c r="AC24" s="81"/>
      <c r="AD24" s="81"/>
      <c r="AE24" s="81"/>
      <c r="AF24" s="82"/>
      <c r="AG24" s="82"/>
      <c r="AH24" s="82"/>
      <c r="AI24" s="82"/>
      <c r="AJ24" s="82"/>
      <c r="AK24" s="82"/>
      <c r="AL24" s="82"/>
      <c r="AM24" s="81"/>
    </row>
    <row r="25" spans="1:39" x14ac:dyDescent="0.25">
      <c r="A25" s="24" t="s">
        <v>62</v>
      </c>
      <c r="B25" s="24" t="s">
        <v>42</v>
      </c>
      <c r="C25" s="30" t="str">
        <f>IF(VLOOKUP(A25,'Input - Effective RE Level'!$A$2:$B$52,2,FALSE)=0,"",VLOOKUP(A25,'Input - Effective RE Level'!$A$2:$B$52,2,FALSE))</f>
        <v/>
      </c>
      <c r="D25" s="24" t="s">
        <v>117</v>
      </c>
      <c r="E25" s="30">
        <f t="shared" si="15"/>
        <v>0.1</v>
      </c>
      <c r="F25" s="28">
        <f ca="1">(SUMIF('Input- EIA 2012 Generation Data'!$B$2:$H$52,D25,'Input- EIA 2012 Generation Data'!$H$2:$H$52)*AVERAGEIF($D$16:$D$66,D25,$E$16:$E$66))</f>
        <v>93197688.003999993</v>
      </c>
      <c r="G25" s="28">
        <f ca="1">SUMIF('Input- EIA 2012 Generation Data'!$B$2:$G$52,'Calc Method Using % 2012 Gen'!D25,'Input- EIA 2012 Generation Data'!$D$2:$D$52)</f>
        <v>18104807.379999999</v>
      </c>
      <c r="H25" s="66">
        <f t="shared" ca="1" si="13"/>
        <v>0.13432975769258282</v>
      </c>
      <c r="I25" s="66">
        <f>VLOOKUP(B25,'Input- EIA 2012 Generation Data'!$A$2:$G$52,4,FALSE)/VLOOKUP(B25,'Input- EIA 2012 Generation Data'!$A$2:$H$52,8,FALSE)</f>
        <v>2.0460773634707972E-2</v>
      </c>
      <c r="J25" s="77">
        <f t="shared" ref="J25:J60" ca="1" si="21">MIN(I25*(1+$H25),$E25,$C$67)</f>
        <v>2.3209264399261079E-2</v>
      </c>
      <c r="K25" s="77">
        <f t="shared" ref="K25:V25" ca="1" si="22">MIN(J25*(1+$H25),$E25)</f>
        <v>2.632695926223691E-2</v>
      </c>
      <c r="L25" s="77">
        <f t="shared" ca="1" si="22"/>
        <v>2.9863453320715692E-2</v>
      </c>
      <c r="M25" s="77">
        <f t="shared" ca="1" si="22"/>
        <v>3.3875003769151188E-2</v>
      </c>
      <c r="N25" s="77">
        <f t="shared" ca="1" si="22"/>
        <v>3.8425424817296598E-2</v>
      </c>
      <c r="O25" s="77">
        <f t="shared" ca="1" si="22"/>
        <v>4.3587102822238606E-2</v>
      </c>
      <c r="P25" s="77">
        <f t="shared" ca="1" si="22"/>
        <v>4.9442147782871614E-2</v>
      </c>
      <c r="Q25" s="77">
        <f t="shared" ca="1" si="22"/>
        <v>5.6083699514345629E-2</v>
      </c>
      <c r="R25" s="77">
        <f t="shared" ca="1" si="22"/>
        <v>6.3617409280611298E-2</v>
      </c>
      <c r="S25" s="77">
        <f t="shared" ca="1" si="22"/>
        <v>7.2163120454305688E-2</v>
      </c>
      <c r="T25" s="77">
        <f t="shared" ca="1" si="22"/>
        <v>8.1856774939273236E-2</v>
      </c>
      <c r="U25" s="77">
        <f t="shared" ca="1" si="22"/>
        <v>9.285257568236209E-2</v>
      </c>
      <c r="V25" s="77">
        <f t="shared" ca="1" si="22"/>
        <v>0.1</v>
      </c>
      <c r="W25" s="24" t="s">
        <v>62</v>
      </c>
      <c r="X25" s="66">
        <f t="shared" si="8"/>
        <v>2.0460773634707972E-2</v>
      </c>
      <c r="Y25" s="66">
        <f t="shared" ca="1" si="9"/>
        <v>6.3190325906245598E-2</v>
      </c>
      <c r="Z25" s="66">
        <f t="shared" ca="1" si="10"/>
        <v>0.1</v>
      </c>
      <c r="AA25" s="66">
        <f t="shared" ca="1" si="11"/>
        <v>4.4282675741180728E-2</v>
      </c>
      <c r="AB25" s="66">
        <f t="shared" ca="1" si="12"/>
        <v>5.6083699514345629E-2</v>
      </c>
      <c r="AC25" s="81"/>
      <c r="AD25" s="81"/>
      <c r="AE25" s="81"/>
      <c r="AF25" s="82"/>
      <c r="AG25" s="82"/>
      <c r="AH25" s="82"/>
      <c r="AI25" s="82"/>
      <c r="AJ25" s="82"/>
      <c r="AK25" s="82"/>
      <c r="AL25" s="82"/>
      <c r="AM25" s="81"/>
    </row>
    <row r="26" spans="1:39" x14ac:dyDescent="0.25">
      <c r="A26" s="24" t="s">
        <v>63</v>
      </c>
      <c r="B26" s="24" t="s">
        <v>41</v>
      </c>
      <c r="C26" s="30" t="str">
        <f>IF(VLOOKUP(A26,'Input - Effective RE Level'!$A$2:$B$52,2,FALSE)=0,"",VLOOKUP(A26,'Input - Effective RE Level'!$A$2:$B$52,2,FALSE))</f>
        <v/>
      </c>
      <c r="D26" s="24" t="s">
        <v>117</v>
      </c>
      <c r="E26" s="30">
        <f t="shared" si="15"/>
        <v>0.1</v>
      </c>
      <c r="F26" s="28">
        <f ca="1">(SUMIF('Input- EIA 2012 Generation Data'!$B$2:$H$52,D26,'Input- EIA 2012 Generation Data'!$H$2:$H$52)*AVERAGEIF($D$16:$D$66,D26,$E$16:$E$66))</f>
        <v>93197688.003999993</v>
      </c>
      <c r="G26" s="28">
        <f ca="1">SUMIF('Input- EIA 2012 Generation Data'!$B$2:$G$52,'Calc Method Using % 2012 Gen'!D26,'Input- EIA 2012 Generation Data'!$D$2:$D$52)</f>
        <v>18104807.379999999</v>
      </c>
      <c r="H26" s="66">
        <f t="shared" ca="1" si="13"/>
        <v>0.13432975769258282</v>
      </c>
      <c r="I26" s="66">
        <f>VLOOKUP(B26,'Input- EIA 2012 Generation Data'!$A$2:$G$52,4,FALSE)/VLOOKUP(B26,'Input- EIA 2012 Generation Data'!$A$2:$H$52,8,FALSE)</f>
        <v>2.6805933123977835E-2</v>
      </c>
      <c r="J26" s="77">
        <f t="shared" ca="1" si="21"/>
        <v>3.0406767625245357E-2</v>
      </c>
      <c r="K26" s="77">
        <f t="shared" ref="K26:V26" ca="1" si="23">MIN(J26*(1+$H26),$E26)</f>
        <v>3.4491301352559241E-2</v>
      </c>
      <c r="L26" s="77">
        <f t="shared" ca="1" si="23"/>
        <v>3.9124509505750381E-2</v>
      </c>
      <c r="M26" s="77">
        <f t="shared" ca="1" si="23"/>
        <v>4.4380095387498986E-2</v>
      </c>
      <c r="N26" s="77">
        <f t="shared" ca="1" si="23"/>
        <v>5.034166284727544E-2</v>
      </c>
      <c r="O26" s="77">
        <f t="shared" ca="1" si="23"/>
        <v>5.7104046219391649E-2</v>
      </c>
      <c r="P26" s="77">
        <f t="shared" ca="1" si="23"/>
        <v>6.4774818911308582E-2</v>
      </c>
      <c r="Q26" s="77">
        <f t="shared" ca="1" si="23"/>
        <v>7.347600464024559E-2</v>
      </c>
      <c r="R26" s="77">
        <f t="shared" ca="1" si="23"/>
        <v>8.3346018539788874E-2</v>
      </c>
      <c r="S26" s="77">
        <f t="shared" ca="1" si="23"/>
        <v>9.4541869014880223E-2</v>
      </c>
      <c r="T26" s="77">
        <f t="shared" ca="1" si="23"/>
        <v>0.1</v>
      </c>
      <c r="U26" s="77">
        <f t="shared" ca="1" si="23"/>
        <v>0.1</v>
      </c>
      <c r="V26" s="77">
        <f t="shared" ca="1" si="23"/>
        <v>0.1</v>
      </c>
      <c r="W26" s="24" t="s">
        <v>63</v>
      </c>
      <c r="X26" s="66">
        <f t="shared" si="8"/>
        <v>2.6805933123977835E-2</v>
      </c>
      <c r="Y26" s="66">
        <f t="shared" ca="1" si="9"/>
        <v>7.6796451556038925E-2</v>
      </c>
      <c r="Z26" s="66">
        <f t="shared" ca="1" si="10"/>
        <v>0.1</v>
      </c>
      <c r="AA26" s="66">
        <f t="shared" ca="1" si="11"/>
        <v>5.8015325601144044E-2</v>
      </c>
      <c r="AB26" s="66">
        <f t="shared" ca="1" si="12"/>
        <v>7.347600464024559E-2</v>
      </c>
      <c r="AC26" s="81"/>
      <c r="AD26" s="81"/>
      <c r="AE26" s="81"/>
      <c r="AF26" s="82"/>
      <c r="AG26" s="82"/>
      <c r="AH26" s="82"/>
      <c r="AI26" s="82"/>
      <c r="AJ26" s="82"/>
      <c r="AK26" s="82"/>
      <c r="AL26" s="82"/>
      <c r="AM26" s="81"/>
    </row>
    <row r="27" spans="1:39" x14ac:dyDescent="0.25">
      <c r="A27" s="24" t="s">
        <v>64</v>
      </c>
      <c r="B27" s="24" t="s">
        <v>40</v>
      </c>
      <c r="C27" s="30">
        <f>IF(VLOOKUP(A27,'Input - Effective RE Level'!$A$2:$B$52,2,FALSE)=0,"",VLOOKUP(A27,'Input - Effective RE Level'!$A$2:$B$52,2,FALSE))</f>
        <v>0.25</v>
      </c>
      <c r="D27" s="24" t="s">
        <v>64</v>
      </c>
      <c r="E27" s="30">
        <f>MIN(E5,E8:E11)</f>
        <v>9.9999999999999992E-2</v>
      </c>
      <c r="F27" s="28">
        <f ca="1">(SUMIF('Input- EIA 2012 Generation Data'!$B$2:$H$52,D27,'Input- EIA 2012 Generation Data'!$H$2:$H$52)*AVERAGEIF($D$16:$D$66,D27,$E$16:$E$66))</f>
        <v>1046926.8679999999</v>
      </c>
      <c r="G27" s="28">
        <f ca="1">SUMIF('Input- EIA 2012 Generation Data'!$B$2:$G$52,'Calc Method Using % 2012 Gen'!D27,'Input- EIA 2012 Generation Data'!$D$2:$D$52)</f>
        <v>924815.1</v>
      </c>
      <c r="H27" s="79">
        <f>'Input- EIA 2012 Generation Data'!B72</f>
        <v>8.6602341648453374E-2</v>
      </c>
      <c r="I27" s="85">
        <f>VLOOKUP(B27,'Input- EIA 2012 Generation Data'!$A$2:$G$52,4,FALSE)/VLOOKUP(B27,'Input- EIA 2012 Generation Data'!$A$2:$H$52,8,FALSE)</f>
        <v>8.8336170201336356E-2</v>
      </c>
      <c r="J27" s="77">
        <f t="shared" si="21"/>
        <v>9.5986289393028418E-2</v>
      </c>
      <c r="K27" s="77">
        <f t="shared" ref="K27:V27" si="24">MIN(J27*(1+$H27),$E27)</f>
        <v>9.9999999999999992E-2</v>
      </c>
      <c r="L27" s="77">
        <f t="shared" si="24"/>
        <v>9.9999999999999992E-2</v>
      </c>
      <c r="M27" s="77">
        <f t="shared" si="24"/>
        <v>9.9999999999999992E-2</v>
      </c>
      <c r="N27" s="77">
        <f t="shared" si="24"/>
        <v>9.9999999999999992E-2</v>
      </c>
      <c r="O27" s="77">
        <f t="shared" si="24"/>
        <v>9.9999999999999992E-2</v>
      </c>
      <c r="P27" s="77">
        <f t="shared" si="24"/>
        <v>9.9999999999999992E-2</v>
      </c>
      <c r="Q27" s="77">
        <f t="shared" si="24"/>
        <v>9.9999999999999992E-2</v>
      </c>
      <c r="R27" s="77">
        <f t="shared" si="24"/>
        <v>9.9999999999999992E-2</v>
      </c>
      <c r="S27" s="77">
        <f t="shared" si="24"/>
        <v>9.9999999999999992E-2</v>
      </c>
      <c r="T27" s="77">
        <f t="shared" si="24"/>
        <v>9.9999999999999992E-2</v>
      </c>
      <c r="U27" s="77">
        <f t="shared" si="24"/>
        <v>9.9999999999999992E-2</v>
      </c>
      <c r="V27" s="77">
        <f t="shared" si="24"/>
        <v>9.9999999999999992E-2</v>
      </c>
      <c r="W27" s="24" t="s">
        <v>64</v>
      </c>
      <c r="X27" s="66">
        <f t="shared" si="8"/>
        <v>8.8336170201336356E-2</v>
      </c>
      <c r="Y27" s="66">
        <f t="shared" si="9"/>
        <v>9.9999999999999992E-2</v>
      </c>
      <c r="Z27" s="66">
        <f t="shared" si="10"/>
        <v>9.9999999999999992E-2</v>
      </c>
      <c r="AA27" s="66">
        <f t="shared" si="11"/>
        <v>9.9999999999999992E-2</v>
      </c>
      <c r="AB27" s="66">
        <f t="shared" si="12"/>
        <v>9.9999999999999992E-2</v>
      </c>
      <c r="AC27" s="81"/>
      <c r="AD27" s="81"/>
      <c r="AE27" s="81"/>
      <c r="AF27" s="82"/>
      <c r="AG27" s="82"/>
      <c r="AH27" s="82"/>
      <c r="AI27" s="82"/>
      <c r="AJ27" s="82"/>
      <c r="AK27" s="82"/>
      <c r="AL27" s="82"/>
      <c r="AM27" s="81"/>
    </row>
    <row r="28" spans="1:39" x14ac:dyDescent="0.25">
      <c r="A28" s="24" t="s">
        <v>66</v>
      </c>
      <c r="B28" s="24" t="s">
        <v>38</v>
      </c>
      <c r="C28" s="30" t="str">
        <f>IF(VLOOKUP(A28,'Input - Effective RE Level'!$A$2:$B$52,2,FALSE)=0,"",VLOOKUP(A28,'Input - Effective RE Level'!$A$2:$B$52,2,FALSE))</f>
        <v/>
      </c>
      <c r="D28" s="24" t="s">
        <v>118</v>
      </c>
      <c r="E28" s="30">
        <f>AVERAGEIF($D$16:$D$66,D28,$C$16:$C$66)</f>
        <v>0.20624999999999999</v>
      </c>
      <c r="F28" s="28">
        <f ca="1">(SUMIF('Input- EIA 2012 Generation Data'!$B$2:$H$52,D28,'Input- EIA 2012 Generation Data'!$H$2:$H$52)*AVERAGEIF($D$16:$D$66,D28,$E$16:$E$66))</f>
        <v>146877467.42893127</v>
      </c>
      <c r="G28" s="28">
        <f ca="1">SUMIF('Input- EIA 2012 Generation Data'!$B$2:$G$52,'Calc Method Using % 2012 Gen'!D28,'Input- EIA 2012 Generation Data'!$D$2:$D$52)</f>
        <v>68065726.450000003</v>
      </c>
      <c r="H28" s="66">
        <f t="shared" ref="H28:H66" ca="1" si="25">(F28/G28)^(1/13)-1</f>
        <v>6.094864111130982E-2</v>
      </c>
      <c r="I28" s="66">
        <f>VLOOKUP(B28,'Input- EIA 2012 Generation Data'!$A$2:$G$52,4,FALSE)/VLOOKUP(B28,'Input- EIA 2012 Generation Data'!$A$2:$H$52,8,FALSE)</f>
        <v>0.16223547846631514</v>
      </c>
      <c r="J28" s="77">
        <f t="shared" ca="1" si="21"/>
        <v>0.17212351041888022</v>
      </c>
      <c r="K28" s="77">
        <f t="shared" ref="K28:V28" ca="1" si="26">MIN(J28*(1+$H28),$E28)</f>
        <v>0.18261420448221935</v>
      </c>
      <c r="L28" s="77">
        <f t="shared" ca="1" si="26"/>
        <v>0.19374429209303348</v>
      </c>
      <c r="M28" s="77">
        <f t="shared" ca="1" si="26"/>
        <v>0.20555274341917656</v>
      </c>
      <c r="N28" s="77">
        <f t="shared" ca="1" si="26"/>
        <v>0.20624999999999999</v>
      </c>
      <c r="O28" s="77">
        <f t="shared" ca="1" si="26"/>
        <v>0.20624999999999999</v>
      </c>
      <c r="P28" s="77">
        <f t="shared" ca="1" si="26"/>
        <v>0.20624999999999999</v>
      </c>
      <c r="Q28" s="77">
        <f t="shared" ca="1" si="26"/>
        <v>0.20624999999999999</v>
      </c>
      <c r="R28" s="77">
        <f t="shared" ca="1" si="26"/>
        <v>0.20624999999999999</v>
      </c>
      <c r="S28" s="77">
        <f t="shared" ca="1" si="26"/>
        <v>0.20624999999999999</v>
      </c>
      <c r="T28" s="77">
        <f t="shared" ca="1" si="26"/>
        <v>0.20624999999999999</v>
      </c>
      <c r="U28" s="77">
        <f t="shared" ca="1" si="26"/>
        <v>0.20624999999999999</v>
      </c>
      <c r="V28" s="77">
        <f t="shared" ca="1" si="26"/>
        <v>0.20624999999999999</v>
      </c>
      <c r="W28" s="24" t="s">
        <v>66</v>
      </c>
      <c r="X28" s="66">
        <f t="shared" si="8"/>
        <v>0.16223547846631514</v>
      </c>
      <c r="Y28" s="66">
        <f t="shared" ca="1" si="9"/>
        <v>0.20618027434191766</v>
      </c>
      <c r="Z28" s="66">
        <f t="shared" ca="1" si="10"/>
        <v>0.20624999999999999</v>
      </c>
      <c r="AA28" s="66">
        <f t="shared" ca="1" si="11"/>
        <v>0.20611054868383533</v>
      </c>
      <c r="AB28" s="66">
        <f t="shared" ca="1" si="12"/>
        <v>0.20624999999999999</v>
      </c>
      <c r="AC28" s="81"/>
      <c r="AD28" s="81"/>
      <c r="AE28" s="81"/>
      <c r="AF28" s="82"/>
      <c r="AG28" s="82"/>
      <c r="AH28" s="82"/>
      <c r="AI28" s="82"/>
      <c r="AJ28" s="82"/>
      <c r="AK28" s="82"/>
      <c r="AL28" s="82"/>
      <c r="AM28" s="81"/>
    </row>
    <row r="29" spans="1:39" x14ac:dyDescent="0.25">
      <c r="A29" s="24" t="s">
        <v>67</v>
      </c>
      <c r="B29" s="24" t="s">
        <v>37</v>
      </c>
      <c r="C29" s="30">
        <f>IF(VLOOKUP(A29,'Input - Effective RE Level'!$A$2:$B$52,2,FALSE)=0,"",VLOOKUP(A29,'Input - Effective RE Level'!$A$2:$B$52,2,FALSE))</f>
        <v>0.16</v>
      </c>
      <c r="D29" s="24" t="s">
        <v>122</v>
      </c>
      <c r="E29" s="30">
        <f t="shared" ref="E29:E66" si="27">AVERAGEIF($D$16:$D$66,D29,$C$16:$C$66)</f>
        <v>0.15114</v>
      </c>
      <c r="F29" s="28">
        <f ca="1">(SUMIF('Input- EIA 2012 Generation Data'!$B$2:$H$52,D29,'Input- EIA 2012 Generation Data'!$H$2:$H$52)*AVERAGEIF($D$16:$D$66,D29,$E$16:$E$66))</f>
        <v>110786042.14611122</v>
      </c>
      <c r="G29" s="28">
        <f ca="1">SUMIF('Input- EIA 2012 Generation Data'!$B$2:$G$52,'Calc Method Using % 2012 Gen'!D29,'Input- EIA 2012 Generation Data'!$D$2:$D$52)</f>
        <v>52058235.869999997</v>
      </c>
      <c r="H29" s="66">
        <f t="shared" ca="1" si="25"/>
        <v>5.9815900091390484E-2</v>
      </c>
      <c r="I29" s="66">
        <f>VLOOKUP(B29,'Input- EIA 2012 Generation Data'!$A$2:$G$52,4,FALSE)/VLOOKUP(B29,'Input- EIA 2012 Generation Data'!$A$2:$H$52,8,FALSE)</f>
        <v>4.2379189281195676E-2</v>
      </c>
      <c r="J29" s="77">
        <f t="shared" ca="1" si="21"/>
        <v>4.4914138633193802E-2</v>
      </c>
      <c r="K29" s="77">
        <f t="shared" ref="K29:V29" ca="1" si="28">MIN(J29*(1+$H29),$E29)</f>
        <v>4.7600718262367787E-2</v>
      </c>
      <c r="L29" s="77">
        <f t="shared" ca="1" si="28"/>
        <v>5.0447998070228005E-2</v>
      </c>
      <c r="M29" s="77">
        <f t="shared" ca="1" si="28"/>
        <v>5.346559048260742E-2</v>
      </c>
      <c r="N29" s="77">
        <f t="shared" ca="1" si="28"/>
        <v>5.6663682901242261E-2</v>
      </c>
      <c r="O29" s="77">
        <f t="shared" ca="1" si="28"/>
        <v>6.0053072096473196E-2</v>
      </c>
      <c r="P29" s="77">
        <f t="shared" ca="1" si="28"/>
        <v>6.3645200657176909E-2</v>
      </c>
      <c r="Q29" s="77">
        <f t="shared" ca="1" si="28"/>
        <v>6.7452195620983105E-2</v>
      </c>
      <c r="R29" s="77">
        <f t="shared" ca="1" si="28"/>
        <v>7.1486909415192756E-2</v>
      </c>
      <c r="S29" s="77">
        <f t="shared" ca="1" si="28"/>
        <v>7.5762963246614204E-2</v>
      </c>
      <c r="T29" s="77">
        <f t="shared" ca="1" si="28"/>
        <v>8.0294793086801375E-2</v>
      </c>
      <c r="U29" s="77">
        <f t="shared" ca="1" si="28"/>
        <v>8.5097698407940361E-2</v>
      </c>
      <c r="V29" s="77">
        <f t="shared" ca="1" si="28"/>
        <v>9.0187893833916996E-2</v>
      </c>
      <c r="W29" s="24" t="s">
        <v>67</v>
      </c>
      <c r="X29" s="66">
        <f t="shared" si="8"/>
        <v>4.2379189281195676E-2</v>
      </c>
      <c r="Y29" s="66">
        <f t="shared" ca="1" si="9"/>
        <v>7.0410999974894847E-2</v>
      </c>
      <c r="Z29" s="66">
        <f t="shared" ca="1" si="10"/>
        <v>9.0187893833916996E-2</v>
      </c>
      <c r="AA29" s="66">
        <f t="shared" ca="1" si="11"/>
        <v>6.0255948351696578E-2</v>
      </c>
      <c r="AB29" s="66">
        <f t="shared" ca="1" si="12"/>
        <v>6.7452195620983105E-2</v>
      </c>
      <c r="AC29" s="81"/>
      <c r="AD29" s="81"/>
      <c r="AE29" s="81"/>
      <c r="AF29" s="82"/>
      <c r="AG29" s="82"/>
      <c r="AH29" s="82"/>
      <c r="AI29" s="82"/>
      <c r="AJ29" s="82"/>
      <c r="AK29" s="82"/>
      <c r="AL29" s="82"/>
      <c r="AM29" s="81"/>
    </row>
    <row r="30" spans="1:39" x14ac:dyDescent="0.25">
      <c r="A30" s="24" t="s">
        <v>68</v>
      </c>
      <c r="B30" s="24" t="s">
        <v>36</v>
      </c>
      <c r="C30" s="30" t="str">
        <f>IF(VLOOKUP(A30,'Input - Effective RE Level'!$A$2:$B$52,2,FALSE)=0,"",VLOOKUP(A30,'Input - Effective RE Level'!$A$2:$B$52,2,FALSE))</f>
        <v/>
      </c>
      <c r="D30" s="24" t="s">
        <v>122</v>
      </c>
      <c r="E30" s="30">
        <f t="shared" si="27"/>
        <v>0.15114</v>
      </c>
      <c r="F30" s="28">
        <f ca="1">(SUMIF('Input- EIA 2012 Generation Data'!$B$2:$H$52,D30,'Input- EIA 2012 Generation Data'!$H$2:$H$52)*AVERAGEIF($D$16:$D$66,D30,$E$16:$E$66))</f>
        <v>110786042.14611122</v>
      </c>
      <c r="G30" s="28">
        <f ca="1">SUMIF('Input- EIA 2012 Generation Data'!$B$2:$G$52,'Calc Method Using % 2012 Gen'!D30,'Input- EIA 2012 Generation Data'!$D$2:$D$52)</f>
        <v>52058235.869999997</v>
      </c>
      <c r="H30" s="66">
        <f t="shared" ca="1" si="25"/>
        <v>5.9815900091390484E-2</v>
      </c>
      <c r="I30" s="66">
        <f>VLOOKUP(B30,'Input- EIA 2012 Generation Data'!$A$2:$G$52,4,FALSE)/VLOOKUP(B30,'Input- EIA 2012 Generation Data'!$A$2:$H$52,8,FALSE)</f>
        <v>3.0919785961188322E-2</v>
      </c>
      <c r="J30" s="77">
        <f t="shared" ca="1" si="21"/>
        <v>3.2769280789089937E-2</v>
      </c>
      <c r="K30" s="77">
        <f t="shared" ref="K30:V30" ca="1" si="29">MIN(J30*(1+$H30),$E30)</f>
        <v>3.4729404814836863E-2</v>
      </c>
      <c r="L30" s="77">
        <f t="shared" ca="1" si="29"/>
        <v>3.6806775423474603E-2</v>
      </c>
      <c r="M30" s="77">
        <f t="shared" ca="1" si="29"/>
        <v>3.9008405824891408E-2</v>
      </c>
      <c r="N30" s="77">
        <f t="shared" ca="1" si="29"/>
        <v>4.1341728730437524E-2</v>
      </c>
      <c r="O30" s="77">
        <f t="shared" ca="1" si="29"/>
        <v>4.3814621445782742E-2</v>
      </c>
      <c r="P30" s="77">
        <f t="shared" ca="1" si="29"/>
        <v>4.6435432464725777E-2</v>
      </c>
      <c r="Q30" s="77">
        <f t="shared" ca="1" si="29"/>
        <v>4.9213009653736324E-2</v>
      </c>
      <c r="R30" s="77">
        <f t="shared" ca="1" si="29"/>
        <v>5.2156730122380854E-2</v>
      </c>
      <c r="S30" s="77">
        <f t="shared" ca="1" si="29"/>
        <v>5.5276531880474801E-2</v>
      </c>
      <c r="T30" s="77">
        <f t="shared" ca="1" si="29"/>
        <v>5.8582947388835842E-2</v>
      </c>
      <c r="U30" s="77">
        <f t="shared" ca="1" si="29"/>
        <v>6.2087139116905631E-2</v>
      </c>
      <c r="V30" s="77">
        <f t="shared" ca="1" si="29"/>
        <v>6.5800937227282724E-2</v>
      </c>
      <c r="W30" s="24" t="s">
        <v>68</v>
      </c>
      <c r="X30" s="66">
        <f t="shared" si="8"/>
        <v>3.0919785961188322E-2</v>
      </c>
      <c r="Y30" s="66">
        <f t="shared" ca="1" si="9"/>
        <v>5.1371748385545368E-2</v>
      </c>
      <c r="Z30" s="66">
        <f t="shared" ca="1" si="10"/>
        <v>6.5800937227282724E-2</v>
      </c>
      <c r="AA30" s="66">
        <f t="shared" ca="1" si="11"/>
        <v>4.3962639623914758E-2</v>
      </c>
      <c r="AB30" s="66">
        <f t="shared" ca="1" si="12"/>
        <v>4.9213009653736324E-2</v>
      </c>
      <c r="AC30" s="81"/>
      <c r="AD30" s="81"/>
      <c r="AE30" s="81"/>
      <c r="AF30" s="82"/>
      <c r="AG30" s="82"/>
      <c r="AH30" s="82"/>
      <c r="AI30" s="82"/>
      <c r="AJ30" s="82"/>
      <c r="AK30" s="82"/>
      <c r="AL30" s="82"/>
      <c r="AM30" s="81"/>
    </row>
    <row r="31" spans="1:39" x14ac:dyDescent="0.25">
      <c r="A31" s="24" t="s">
        <v>65</v>
      </c>
      <c r="B31" s="24" t="s">
        <v>39</v>
      </c>
      <c r="C31" s="30" t="str">
        <f>IF(VLOOKUP(A31,'Input - Effective RE Level'!$A$2:$B$52,2,FALSE)=0,"",VLOOKUP(A31,'Input - Effective RE Level'!$A$2:$B$52,2,FALSE))</f>
        <v/>
      </c>
      <c r="D31" s="24" t="s">
        <v>122</v>
      </c>
      <c r="E31" s="30">
        <f t="shared" si="27"/>
        <v>0.15114</v>
      </c>
      <c r="F31" s="28">
        <f ca="1">(SUMIF('Input- EIA 2012 Generation Data'!$B$2:$H$52,D31,'Input- EIA 2012 Generation Data'!$H$2:$H$52)*AVERAGEIF($D$16:$D$66,D31,$E$16:$E$66))</f>
        <v>110786042.14611122</v>
      </c>
      <c r="G31" s="28">
        <f ca="1">SUMIF('Input- EIA 2012 Generation Data'!$B$2:$G$52,'Calc Method Using % 2012 Gen'!D31,'Input- EIA 2012 Generation Data'!$D$2:$D$52)</f>
        <v>52058235.869999997</v>
      </c>
      <c r="H31" s="66">
        <f t="shared" ca="1" si="25"/>
        <v>5.9815900091390484E-2</v>
      </c>
      <c r="I31" s="66">
        <f>VLOOKUP(B31,'Input- EIA 2012 Generation Data'!$A$2:$G$52,4,FALSE)/VLOOKUP(B31,'Input- EIA 2012 Generation Data'!$A$2:$H$52,8,FALSE)</f>
        <v>0.25025713376512626</v>
      </c>
      <c r="J31" s="77">
        <f t="shared" ca="1" si="21"/>
        <v>0.15114</v>
      </c>
      <c r="K31" s="77">
        <f t="shared" ref="K31:V31" ca="1" si="30">MIN(J31*(1+$H31),$E31)</f>
        <v>0.15114</v>
      </c>
      <c r="L31" s="77">
        <f t="shared" ca="1" si="30"/>
        <v>0.15114</v>
      </c>
      <c r="M31" s="77">
        <f t="shared" ca="1" si="30"/>
        <v>0.15114</v>
      </c>
      <c r="N31" s="77">
        <f t="shared" ca="1" si="30"/>
        <v>0.15114</v>
      </c>
      <c r="O31" s="77">
        <f t="shared" ca="1" si="30"/>
        <v>0.15114</v>
      </c>
      <c r="P31" s="77">
        <f t="shared" ca="1" si="30"/>
        <v>0.15114</v>
      </c>
      <c r="Q31" s="77">
        <f t="shared" ca="1" si="30"/>
        <v>0.15114</v>
      </c>
      <c r="R31" s="77">
        <f t="shared" ca="1" si="30"/>
        <v>0.15114</v>
      </c>
      <c r="S31" s="77">
        <f t="shared" ca="1" si="30"/>
        <v>0.15114</v>
      </c>
      <c r="T31" s="77">
        <f t="shared" ca="1" si="30"/>
        <v>0.15114</v>
      </c>
      <c r="U31" s="77">
        <f t="shared" ca="1" si="30"/>
        <v>0.15114</v>
      </c>
      <c r="V31" s="77">
        <f t="shared" ca="1" si="30"/>
        <v>0.15114</v>
      </c>
      <c r="W31" s="24" t="s">
        <v>65</v>
      </c>
      <c r="X31" s="66">
        <f t="shared" si="8"/>
        <v>0.25025713376512626</v>
      </c>
      <c r="Y31" s="66">
        <f t="shared" ca="1" si="9"/>
        <v>0.15114000000000002</v>
      </c>
      <c r="Z31" s="66">
        <f t="shared" ca="1" si="10"/>
        <v>0.15114</v>
      </c>
      <c r="AA31" s="66">
        <f t="shared" ca="1" si="11"/>
        <v>0.15114</v>
      </c>
      <c r="AB31" s="66">
        <f t="shared" ca="1" si="12"/>
        <v>0.15114</v>
      </c>
      <c r="AC31" s="81"/>
      <c r="AD31" s="81"/>
      <c r="AE31" s="81"/>
      <c r="AF31" s="82"/>
      <c r="AG31" s="82"/>
      <c r="AH31" s="82"/>
      <c r="AI31" s="82"/>
      <c r="AJ31" s="82"/>
      <c r="AK31" s="82"/>
      <c r="AL31" s="82"/>
      <c r="AM31" s="81"/>
    </row>
    <row r="32" spans="1:39" x14ac:dyDescent="0.25">
      <c r="A32" s="24" t="s">
        <v>69</v>
      </c>
      <c r="B32" s="24" t="s">
        <v>35</v>
      </c>
      <c r="C32" s="30">
        <f>IF(VLOOKUP(A32,'Input - Effective RE Level'!$A$2:$B$52,2,FALSE)=0,"",VLOOKUP(A32,'Input - Effective RE Level'!$A$2:$B$52,2,FALSE))</f>
        <v>0.2</v>
      </c>
      <c r="D32" s="24" t="s">
        <v>119</v>
      </c>
      <c r="E32" s="30">
        <f t="shared" si="27"/>
        <v>0.2</v>
      </c>
      <c r="F32" s="28">
        <f ca="1">(SUMIF('Input- EIA 2012 Generation Data'!$B$2:$H$52,D32,'Input- EIA 2012 Generation Data'!$H$2:$H$52)*AVERAGEIF($D$16:$D$66,D32,$E$16:$E$66))</f>
        <v>150952893.01199996</v>
      </c>
      <c r="G32" s="28">
        <f ca="1">SUMIF('Input- EIA 2012 Generation Data'!$B$2:$G$52,'Calc Method Using % 2012 Gen'!D32,'Input- EIA 2012 Generation Data'!$D$2:$D$52)</f>
        <v>53227248.009999998</v>
      </c>
      <c r="H32" s="66">
        <f t="shared" ca="1" si="25"/>
        <v>8.3486858853496049E-2</v>
      </c>
      <c r="I32" s="66">
        <f>VLOOKUP(B32,'Input- EIA 2012 Generation Data'!$A$2:$G$52,4,FALSE)/VLOOKUP(B32,'Input- EIA 2012 Generation Data'!$A$2:$H$52,8,FALSE)</f>
        <v>0.11823725182904631</v>
      </c>
      <c r="J32" s="77">
        <f t="shared" ca="1" si="21"/>
        <v>0.12810850858372316</v>
      </c>
      <c r="K32" s="77">
        <f t="shared" ref="K32:V32" ca="1" si="31">MIN(J32*(1+$H32),$E32)</f>
        <v>0.13880388555778433</v>
      </c>
      <c r="L32" s="77">
        <f t="shared" ca="1" si="31"/>
        <v>0.15039218595966389</v>
      </c>
      <c r="M32" s="77">
        <f t="shared" ca="1" si="31"/>
        <v>0.16294795716154709</v>
      </c>
      <c r="N32" s="77">
        <f t="shared" ca="1" si="31"/>
        <v>0.17655197026155869</v>
      </c>
      <c r="O32" s="77">
        <f t="shared" ca="1" si="31"/>
        <v>0.19129173968309207</v>
      </c>
      <c r="P32" s="77">
        <f t="shared" ca="1" si="31"/>
        <v>0.2</v>
      </c>
      <c r="Q32" s="77">
        <f t="shared" ca="1" si="31"/>
        <v>0.2</v>
      </c>
      <c r="R32" s="77">
        <f t="shared" ca="1" si="31"/>
        <v>0.2</v>
      </c>
      <c r="S32" s="77">
        <f t="shared" ca="1" si="31"/>
        <v>0.2</v>
      </c>
      <c r="T32" s="77">
        <f t="shared" ca="1" si="31"/>
        <v>0.2</v>
      </c>
      <c r="U32" s="77">
        <f t="shared" ca="1" si="31"/>
        <v>0.2</v>
      </c>
      <c r="V32" s="77">
        <f t="shared" ca="1" si="31"/>
        <v>0.2</v>
      </c>
      <c r="W32" s="24" t="s">
        <v>69</v>
      </c>
      <c r="X32" s="66">
        <f t="shared" si="8"/>
        <v>0.11823725182904631</v>
      </c>
      <c r="Y32" s="66">
        <f t="shared" ca="1" si="9"/>
        <v>0.19307916671061975</v>
      </c>
      <c r="Z32" s="66">
        <f t="shared" ca="1" si="10"/>
        <v>0.2</v>
      </c>
      <c r="AA32" s="66">
        <f t="shared" ca="1" si="11"/>
        <v>0.18615833342123955</v>
      </c>
      <c r="AB32" s="66">
        <f t="shared" ca="1" si="12"/>
        <v>0.2</v>
      </c>
      <c r="AC32" s="81"/>
      <c r="AD32" s="81"/>
      <c r="AE32" s="81"/>
      <c r="AF32" s="82"/>
      <c r="AG32" s="82"/>
      <c r="AH32" s="82"/>
      <c r="AI32" s="82"/>
      <c r="AJ32" s="82"/>
      <c r="AK32" s="82"/>
      <c r="AL32" s="82"/>
      <c r="AM32" s="81"/>
    </row>
    <row r="33" spans="1:39" x14ac:dyDescent="0.25">
      <c r="A33" s="24" t="s">
        <v>70</v>
      </c>
      <c r="B33" s="24" t="s">
        <v>34</v>
      </c>
      <c r="C33" s="30" t="str">
        <f>IF(VLOOKUP(A33,'Input - Effective RE Level'!$A$2:$B$52,2,FALSE)=0,"",VLOOKUP(A33,'Input - Effective RE Level'!$A$2:$B$52,2,FALSE))</f>
        <v/>
      </c>
      <c r="D33" s="24" t="s">
        <v>117</v>
      </c>
      <c r="E33" s="30">
        <f t="shared" si="27"/>
        <v>0.1</v>
      </c>
      <c r="F33" s="28">
        <f ca="1">(SUMIF('Input- EIA 2012 Generation Data'!$B$2:$H$52,D33,'Input- EIA 2012 Generation Data'!$H$2:$H$52)*AVERAGEIF($D$16:$D$66,D33,$E$16:$E$66))</f>
        <v>93197688.003999993</v>
      </c>
      <c r="G33" s="28">
        <f ca="1">SUMIF('Input- EIA 2012 Generation Data'!$B$2:$G$52,'Calc Method Using % 2012 Gen'!D33,'Input- EIA 2012 Generation Data'!$D$2:$D$52)</f>
        <v>18104807.379999999</v>
      </c>
      <c r="H33" s="66">
        <f t="shared" ca="1" si="25"/>
        <v>0.13432975769258282</v>
      </c>
      <c r="I33" s="66">
        <f>VLOOKUP(B33,'Input- EIA 2012 Generation Data'!$A$2:$G$52,4,FALSE)/VLOOKUP(B33,'Input- EIA 2012 Generation Data'!$A$2:$H$52,8,FALSE)</f>
        <v>3.7007293166985695E-3</v>
      </c>
      <c r="J33" s="77">
        <f t="shared" ca="1" si="21"/>
        <v>4.197847389096526E-3</v>
      </c>
      <c r="K33" s="77">
        <f t="shared" ref="K33:V33" ca="1" si="32">MIN(J33*(1+$H33),$E33)</f>
        <v>4.761743211704304E-3</v>
      </c>
      <c r="L33" s="77">
        <f t="shared" ca="1" si="32"/>
        <v>5.4013870235268442E-3</v>
      </c>
      <c r="M33" s="77">
        <f t="shared" ca="1" si="32"/>
        <v>6.1269540336010659E-3</v>
      </c>
      <c r="N33" s="77">
        <f t="shared" ca="1" si="32"/>
        <v>6.9499862843282901E-3</v>
      </c>
      <c r="O33" s="77">
        <f t="shared" ca="1" si="32"/>
        <v>7.883576257868884E-3</v>
      </c>
      <c r="P33" s="77">
        <f t="shared" ca="1" si="32"/>
        <v>8.9425751463394106E-3</v>
      </c>
      <c r="Q33" s="77">
        <f t="shared" ca="1" si="32"/>
        <v>1.0143829098894898E-2</v>
      </c>
      <c r="R33" s="77">
        <f t="shared" ca="1" si="32"/>
        <v>1.150644720382442E-2</v>
      </c>
      <c r="S33" s="77">
        <f t="shared" ca="1" si="32"/>
        <v>1.3052105468616652E-2</v>
      </c>
      <c r="T33" s="77">
        <f t="shared" ca="1" si="32"/>
        <v>1.4805391633593961E-2</v>
      </c>
      <c r="U33" s="77">
        <f t="shared" ca="1" si="32"/>
        <v>1.679419630427843E-2</v>
      </c>
      <c r="V33" s="77">
        <f t="shared" ca="1" si="32"/>
        <v>1.9050156624473822E-2</v>
      </c>
      <c r="W33" s="24" t="s">
        <v>70</v>
      </c>
      <c r="X33" s="66">
        <f t="shared" si="8"/>
        <v>3.7007293166985695E-3</v>
      </c>
      <c r="Y33" s="66">
        <f t="shared" ca="1" si="9"/>
        <v>1.1525521805581983E-2</v>
      </c>
      <c r="Z33" s="66">
        <f t="shared" ca="1" si="10"/>
        <v>1.9050156624473822E-2</v>
      </c>
      <c r="AA33" s="66">
        <f t="shared" ca="1" si="11"/>
        <v>8.0093841642065091E-3</v>
      </c>
      <c r="AB33" s="66">
        <f t="shared" ca="1" si="12"/>
        <v>1.0143829098894898E-2</v>
      </c>
      <c r="AC33" s="81"/>
      <c r="AD33" s="81"/>
      <c r="AE33" s="81"/>
      <c r="AF33" s="82"/>
      <c r="AG33" s="82"/>
      <c r="AH33" s="82"/>
      <c r="AI33" s="82"/>
      <c r="AJ33" s="82"/>
      <c r="AK33" s="82"/>
      <c r="AL33" s="82"/>
      <c r="AM33" s="81"/>
    </row>
    <row r="34" spans="1:39" x14ac:dyDescent="0.25">
      <c r="A34" s="24" t="s">
        <v>71</v>
      </c>
      <c r="B34" s="24" t="s">
        <v>33</v>
      </c>
      <c r="C34" s="30" t="str">
        <f>IF(VLOOKUP(A34,'Input - Effective RE Level'!$A$2:$B$52,2,FALSE)=0,"",VLOOKUP(A34,'Input - Effective RE Level'!$A$2:$B$52,2,FALSE))</f>
        <v/>
      </c>
      <c r="D34" s="24" t="s">
        <v>119</v>
      </c>
      <c r="E34" s="30">
        <f t="shared" si="27"/>
        <v>0.2</v>
      </c>
      <c r="F34" s="28">
        <f ca="1">(SUMIF('Input- EIA 2012 Generation Data'!$B$2:$H$52,D34,'Input- EIA 2012 Generation Data'!$H$2:$H$52)*AVERAGEIF($D$16:$D$66,D34,$E$16:$E$66))</f>
        <v>150952893.01199996</v>
      </c>
      <c r="G34" s="28">
        <f ca="1">SUMIF('Input- EIA 2012 Generation Data'!$B$2:$G$52,'Calc Method Using % 2012 Gen'!D34,'Input- EIA 2012 Generation Data'!$D$2:$D$52)</f>
        <v>53227248.009999998</v>
      </c>
      <c r="H34" s="66">
        <f t="shared" ca="1" si="25"/>
        <v>8.3486858853496049E-2</v>
      </c>
      <c r="I34" s="66">
        <f>VLOOKUP(B34,'Input- EIA 2012 Generation Data'!$A$2:$G$52,4,FALSE)/VLOOKUP(B34,'Input- EIA 2012 Generation Data'!$A$2:$H$52,8,FALSE)</f>
        <v>2.3499624237191111E-2</v>
      </c>
      <c r="J34" s="77">
        <f t="shared" ca="1" si="21"/>
        <v>2.546153404899168E-2</v>
      </c>
      <c r="K34" s="77">
        <f t="shared" ref="K34:V34" ca="1" si="33">MIN(J34*(1+$H34),$E34)</f>
        <v>2.7587237548333331E-2</v>
      </c>
      <c r="L34" s="77">
        <f t="shared" ca="1" si="33"/>
        <v>2.9890409355688902E-2</v>
      </c>
      <c r="M34" s="77">
        <f t="shared" ca="1" si="33"/>
        <v>3.2385865742640518E-2</v>
      </c>
      <c r="N34" s="77">
        <f t="shared" ca="1" si="33"/>
        <v>3.5089659944744618E-2</v>
      </c>
      <c r="O34" s="77">
        <f t="shared" ca="1" si="33"/>
        <v>3.8019185431768687E-2</v>
      </c>
      <c r="P34" s="77">
        <f t="shared" ca="1" si="33"/>
        <v>4.1193287799635651E-2</v>
      </c>
      <c r="Q34" s="77">
        <f t="shared" ca="1" si="33"/>
        <v>4.4632386003875271E-2</v>
      </c>
      <c r="R34" s="77">
        <f t="shared" ca="1" si="33"/>
        <v>4.8358603714475555E-2</v>
      </c>
      <c r="S34" s="77">
        <f t="shared" ca="1" si="33"/>
        <v>5.2395911637138123E-2</v>
      </c>
      <c r="T34" s="77">
        <f t="shared" ca="1" si="33"/>
        <v>5.6770281716488125E-2</v>
      </c>
      <c r="U34" s="77">
        <f t="shared" ca="1" si="33"/>
        <v>6.1509854213225773E-2</v>
      </c>
      <c r="V34" s="77">
        <f t="shared" ca="1" si="33"/>
        <v>6.6645118730024475E-2</v>
      </c>
      <c r="W34" s="24" t="s">
        <v>71</v>
      </c>
      <c r="X34" s="66">
        <f t="shared" si="8"/>
        <v>2.3499624237191111E-2</v>
      </c>
      <c r="Y34" s="66">
        <f t="shared" ca="1" si="9"/>
        <v>4.7700015493401679E-2</v>
      </c>
      <c r="Z34" s="66">
        <f t="shared" ca="1" si="10"/>
        <v>6.6645118730024475E-2</v>
      </c>
      <c r="AA34" s="66">
        <f t="shared" ca="1" si="11"/>
        <v>3.8264076984532949E-2</v>
      </c>
      <c r="AB34" s="66">
        <f t="shared" ca="1" si="12"/>
        <v>4.4632386003875271E-2</v>
      </c>
      <c r="AC34" s="81"/>
      <c r="AD34" s="81"/>
      <c r="AE34" s="81"/>
      <c r="AF34" s="82"/>
      <c r="AG34" s="82"/>
      <c r="AH34" s="82"/>
      <c r="AI34" s="82"/>
      <c r="AJ34" s="82"/>
      <c r="AK34" s="82"/>
      <c r="AL34" s="82"/>
      <c r="AM34" s="81"/>
    </row>
    <row r="35" spans="1:39" x14ac:dyDescent="0.25">
      <c r="A35" s="24" t="s">
        <v>74</v>
      </c>
      <c r="B35" s="24" t="s">
        <v>30</v>
      </c>
      <c r="C35" s="30">
        <f>IF(VLOOKUP(A35,'Input - Effective RE Level'!$A$2:$B$52,2,FALSE)=0,"",VLOOKUP(A35,'Input - Effective RE Level'!$A$2:$B$52,2,FALSE))</f>
        <v>0.4</v>
      </c>
      <c r="D35" s="24" t="s">
        <v>120</v>
      </c>
      <c r="E35" s="30">
        <f t="shared" si="27"/>
        <v>0.25031738739456966</v>
      </c>
      <c r="F35" s="28">
        <f ca="1">(SUMIF('Input- EIA 2012 Generation Data'!$B$2:$H$52,D35,'Input- EIA 2012 Generation Data'!$H$2:$H$52)*AVERAGEIF($D$16:$D$66,D35,$E$16:$E$66))</f>
        <v>64245372.586592935</v>
      </c>
      <c r="G35" s="28">
        <f ca="1">SUMIF('Input- EIA 2012 Generation Data'!$B$2:$G$52,'Calc Method Using % 2012 Gen'!D35,'Input- EIA 2012 Generation Data'!$D$2:$D$52)</f>
        <v>13749515.33</v>
      </c>
      <c r="H35" s="66">
        <f t="shared" ca="1" si="25"/>
        <v>0.12591132996001231</v>
      </c>
      <c r="I35" s="66">
        <f>VLOOKUP(B35,'Input- EIA 2012 Generation Data'!$A$2:$G$52,4,FALSE)/VLOOKUP(B35,'Input- EIA 2012 Generation Data'!$A$2:$H$52,8,FALSE)</f>
        <v>0.28407444255606706</v>
      </c>
      <c r="J35" s="77">
        <f t="shared" ca="1" si="21"/>
        <v>0.25031738739456966</v>
      </c>
      <c r="K35" s="77">
        <f t="shared" ref="K35:V35" ca="1" si="34">MIN(J35*(1+$H35),$E35)</f>
        <v>0.25031738739456966</v>
      </c>
      <c r="L35" s="77">
        <f t="shared" ca="1" si="34"/>
        <v>0.25031738739456966</v>
      </c>
      <c r="M35" s="77">
        <f t="shared" ca="1" si="34"/>
        <v>0.25031738739456966</v>
      </c>
      <c r="N35" s="77">
        <f t="shared" ca="1" si="34"/>
        <v>0.25031738739456966</v>
      </c>
      <c r="O35" s="77">
        <f t="shared" ca="1" si="34"/>
        <v>0.25031738739456966</v>
      </c>
      <c r="P35" s="77">
        <f t="shared" ca="1" si="34"/>
        <v>0.25031738739456966</v>
      </c>
      <c r="Q35" s="77">
        <f t="shared" ca="1" si="34"/>
        <v>0.25031738739456966</v>
      </c>
      <c r="R35" s="77">
        <f t="shared" ca="1" si="34"/>
        <v>0.25031738739456966</v>
      </c>
      <c r="S35" s="77">
        <f t="shared" ca="1" si="34"/>
        <v>0.25031738739456966</v>
      </c>
      <c r="T35" s="77">
        <f t="shared" ca="1" si="34"/>
        <v>0.25031738739456966</v>
      </c>
      <c r="U35" s="77">
        <f t="shared" ca="1" si="34"/>
        <v>0.25031738739456966</v>
      </c>
      <c r="V35" s="77">
        <f t="shared" ca="1" si="34"/>
        <v>0.25031738739456966</v>
      </c>
      <c r="W35" s="24" t="s">
        <v>74</v>
      </c>
      <c r="X35" s="66">
        <f t="shared" si="8"/>
        <v>0.28407444255606706</v>
      </c>
      <c r="Y35" s="66">
        <f t="shared" ca="1" si="9"/>
        <v>0.25031738739456966</v>
      </c>
      <c r="Z35" s="66">
        <f t="shared" ca="1" si="10"/>
        <v>0.25031738739456966</v>
      </c>
      <c r="AA35" s="66">
        <f t="shared" ca="1" si="11"/>
        <v>0.25031738739456966</v>
      </c>
      <c r="AB35" s="66">
        <f t="shared" ca="1" si="12"/>
        <v>0.25031738739456966</v>
      </c>
      <c r="AC35" s="81"/>
      <c r="AD35" s="81"/>
      <c r="AE35" s="81"/>
      <c r="AF35" s="82"/>
      <c r="AG35" s="82"/>
      <c r="AH35" s="82"/>
      <c r="AI35" s="82"/>
      <c r="AJ35" s="82"/>
      <c r="AK35" s="82"/>
      <c r="AL35" s="82"/>
      <c r="AM35" s="81"/>
    </row>
    <row r="36" spans="1:39" x14ac:dyDescent="0.25">
      <c r="A36" s="24" t="s">
        <v>73</v>
      </c>
      <c r="B36" s="24" t="s">
        <v>31</v>
      </c>
      <c r="C36" s="30">
        <f>IF(VLOOKUP(A36,'Input - Effective RE Level'!$A$2:$B$52,2,FALSE)=0,"",VLOOKUP(A36,'Input - Effective RE Level'!$A$2:$B$52,2,FALSE))</f>
        <v>0.18</v>
      </c>
      <c r="D36" s="24" t="s">
        <v>121</v>
      </c>
      <c r="E36" s="30">
        <f t="shared" si="27"/>
        <v>0.15821500000000002</v>
      </c>
      <c r="F36" s="28">
        <f ca="1">(SUMIF('Input- EIA 2012 Generation Data'!$B$2:$H$52,D36,'Input- EIA 2012 Generation Data'!$H$2:$H$52)*AVERAGEIF($D$16:$D$66,D36,$E$16:$E$66))</f>
        <v>96368237.239952162</v>
      </c>
      <c r="G36" s="28">
        <f ca="1">SUMIF('Input- EIA 2012 Generation Data'!$B$2:$G$52,'Calc Method Using % 2012 Gen'!D36,'Input- EIA 2012 Generation Data'!$D$2:$D$52)</f>
        <v>12162663.629999999</v>
      </c>
      <c r="H36" s="66">
        <f t="shared" ca="1" si="25"/>
        <v>0.17259099671408151</v>
      </c>
      <c r="I36" s="66">
        <f>VLOOKUP(B36,'Input- EIA 2012 Generation Data'!$A$2:$G$52,4,FALSE)/VLOOKUP(B36,'Input- EIA 2012 Generation Data'!$A$2:$H$52,8,FALSE)</f>
        <v>2.3754523984334194E-2</v>
      </c>
      <c r="J36" s="77">
        <f t="shared" ca="1" si="21"/>
        <v>2.7854340955258988E-2</v>
      </c>
      <c r="K36" s="77">
        <f t="shared" ref="K36:V36" ca="1" si="35">MIN(J36*(1+$H36),$E36)</f>
        <v>3.2661749423540998E-2</v>
      </c>
      <c r="L36" s="77">
        <f t="shared" ca="1" si="35"/>
        <v>3.8298873310975513E-2</v>
      </c>
      <c r="M36" s="77">
        <f t="shared" ca="1" si="35"/>
        <v>4.4908914028743113E-2</v>
      </c>
      <c r="N36" s="77">
        <f t="shared" ca="1" si="35"/>
        <v>5.2659788262310887E-2</v>
      </c>
      <c r="O36" s="77">
        <f t="shared" ca="1" si="35"/>
        <v>6.1748393605255615E-2</v>
      </c>
      <c r="P36" s="77">
        <f t="shared" ca="1" si="35"/>
        <v>7.2405610403080092E-2</v>
      </c>
      <c r="Q36" s="77">
        <f t="shared" ca="1" si="35"/>
        <v>8.490216687023916E-2</v>
      </c>
      <c r="R36" s="77">
        <f t="shared" ca="1" si="35"/>
        <v>9.9555516473559008E-2</v>
      </c>
      <c r="S36" s="77">
        <f t="shared" ca="1" si="35"/>
        <v>0.11673790229011571</v>
      </c>
      <c r="T36" s="77">
        <f t="shared" ca="1" si="35"/>
        <v>0.13688581320067783</v>
      </c>
      <c r="U36" s="77">
        <f t="shared" ca="1" si="35"/>
        <v>0.15821500000000002</v>
      </c>
      <c r="V36" s="77">
        <f t="shared" ca="1" si="35"/>
        <v>0.15821500000000002</v>
      </c>
      <c r="W36" s="24" t="s">
        <v>73</v>
      </c>
      <c r="X36" s="66">
        <f t="shared" si="8"/>
        <v>2.3754523984334194E-2</v>
      </c>
      <c r="Y36" s="66">
        <f t="shared" ca="1" si="9"/>
        <v>9.8623410513398138E-2</v>
      </c>
      <c r="Z36" s="66">
        <f t="shared" ca="1" si="10"/>
        <v>0.15821500000000002</v>
      </c>
      <c r="AA36" s="66">
        <f t="shared" ca="1" si="11"/>
        <v>6.3324974633925765E-2</v>
      </c>
      <c r="AB36" s="66">
        <f t="shared" ca="1" si="12"/>
        <v>8.490216687023916E-2</v>
      </c>
      <c r="AC36" s="81"/>
      <c r="AD36" s="81"/>
      <c r="AE36" s="81"/>
      <c r="AF36" s="82"/>
      <c r="AG36" s="82"/>
      <c r="AH36" s="82"/>
      <c r="AI36" s="82"/>
      <c r="AJ36" s="82"/>
      <c r="AK36" s="82"/>
      <c r="AL36" s="82"/>
      <c r="AM36" s="81"/>
    </row>
    <row r="37" spans="1:39" x14ac:dyDescent="0.25">
      <c r="A37" s="24" t="s">
        <v>72</v>
      </c>
      <c r="B37" s="24" t="s">
        <v>32</v>
      </c>
      <c r="C37" s="30">
        <f>IF(VLOOKUP(A37,'Input - Effective RE Level'!$A$2:$B$52,2,FALSE)=0,"",VLOOKUP(A37,'Input - Effective RE Level'!$A$2:$B$52,2,FALSE))</f>
        <v>0.22100000000000003</v>
      </c>
      <c r="D37" s="24" t="s">
        <v>120</v>
      </c>
      <c r="E37" s="30">
        <f t="shared" si="27"/>
        <v>0.25031738739456966</v>
      </c>
      <c r="F37" s="28">
        <f ca="1">(SUMIF('Input- EIA 2012 Generation Data'!$B$2:$H$52,D37,'Input- EIA 2012 Generation Data'!$H$2:$H$52)*AVERAGEIF($D$16:$D$66,D37,$E$16:$E$66))</f>
        <v>64245372.586592935</v>
      </c>
      <c r="G37" s="28">
        <f ca="1">SUMIF('Input- EIA 2012 Generation Data'!$B$2:$G$52,'Calc Method Using % 2012 Gen'!D37,'Input- EIA 2012 Generation Data'!$D$2:$D$52)</f>
        <v>13749515.33</v>
      </c>
      <c r="H37" s="66">
        <f t="shared" ca="1" si="25"/>
        <v>0.12591132996001231</v>
      </c>
      <c r="I37" s="66">
        <f>VLOOKUP(B37,'Input- EIA 2012 Generation Data'!$A$2:$G$52,4,FALSE)/VLOOKUP(B37,'Input- EIA 2012 Generation Data'!$A$2:$H$52,8,FALSE)</f>
        <v>5.0925819175450866E-2</v>
      </c>
      <c r="J37" s="77">
        <f t="shared" ca="1" si="21"/>
        <v>5.7337956797134985E-2</v>
      </c>
      <c r="K37" s="77">
        <f t="shared" ref="K37:V37" ca="1" si="36">MIN(J37*(1+$H37),$E37)</f>
        <v>6.4557455194651975E-2</v>
      </c>
      <c r="L37" s="77">
        <f t="shared" ca="1" si="36"/>
        <v>7.2685970237044512E-2</v>
      </c>
      <c r="M37" s="77">
        <f t="shared" ca="1" si="36"/>
        <v>8.1837957419024651E-2</v>
      </c>
      <c r="N37" s="77">
        <f t="shared" ca="1" si="36"/>
        <v>9.2142283478864898E-2</v>
      </c>
      <c r="O37" s="77">
        <f t="shared" ca="1" si="36"/>
        <v>0.10374404093724125</v>
      </c>
      <c r="P37" s="77">
        <f t="shared" ca="1" si="36"/>
        <v>0.11680659110707527</v>
      </c>
      <c r="Q37" s="77">
        <f t="shared" ca="1" si="36"/>
        <v>0.13151386434146245</v>
      </c>
      <c r="R37" s="77">
        <f t="shared" ca="1" si="36"/>
        <v>0.14807294990887662</v>
      </c>
      <c r="S37" s="77">
        <f t="shared" ca="1" si="36"/>
        <v>0.16671701196300556</v>
      </c>
      <c r="T37" s="77">
        <f t="shared" ca="1" si="36"/>
        <v>0.18770857266622687</v>
      </c>
      <c r="U37" s="77">
        <f t="shared" ca="1" si="36"/>
        <v>0.21134320869552711</v>
      </c>
      <c r="V37" s="77">
        <f t="shared" ca="1" si="36"/>
        <v>0.23795371318039737</v>
      </c>
      <c r="W37" s="24" t="s">
        <v>72</v>
      </c>
      <c r="X37" s="66">
        <f t="shared" si="8"/>
        <v>5.0925819175450866E-2</v>
      </c>
      <c r="Y37" s="66">
        <f t="shared" ca="1" si="9"/>
        <v>0.1477840193697702</v>
      </c>
      <c r="Z37" s="66">
        <f t="shared" ca="1" si="10"/>
        <v>0.23795371318039737</v>
      </c>
      <c r="AA37" s="66">
        <f t="shared" ca="1" si="11"/>
        <v>0.1052089474567337</v>
      </c>
      <c r="AB37" s="66">
        <f t="shared" ca="1" si="12"/>
        <v>0.13151386434146245</v>
      </c>
      <c r="AC37" s="81"/>
      <c r="AD37" s="81"/>
      <c r="AE37" s="81"/>
      <c r="AF37" s="82"/>
      <c r="AG37" s="82"/>
      <c r="AH37" s="82"/>
      <c r="AI37" s="82"/>
      <c r="AJ37" s="82"/>
      <c r="AK37" s="82"/>
      <c r="AL37" s="82"/>
      <c r="AM37" s="81"/>
    </row>
    <row r="38" spans="1:39" x14ac:dyDescent="0.25">
      <c r="A38" s="24" t="s">
        <v>75</v>
      </c>
      <c r="B38" s="24" t="s">
        <v>29</v>
      </c>
      <c r="C38" s="30">
        <f>IF(VLOOKUP(A38,'Input - Effective RE Level'!$A$2:$B$52,2,FALSE)=0,"",VLOOKUP(A38,'Input - Effective RE Level'!$A$2:$B$52,2,FALSE))</f>
        <v>0.1</v>
      </c>
      <c r="D38" s="24" t="s">
        <v>122</v>
      </c>
      <c r="E38" s="30">
        <f t="shared" si="27"/>
        <v>0.15114</v>
      </c>
      <c r="F38" s="28">
        <f ca="1">(SUMIF('Input- EIA 2012 Generation Data'!$B$2:$H$52,D38,'Input- EIA 2012 Generation Data'!$H$2:$H$52)*AVERAGEIF($D$16:$D$66,D38,$E$16:$E$66))</f>
        <v>110786042.14611122</v>
      </c>
      <c r="G38" s="28">
        <f ca="1">SUMIF('Input- EIA 2012 Generation Data'!$B$2:$G$52,'Calc Method Using % 2012 Gen'!D38,'Input- EIA 2012 Generation Data'!$D$2:$D$52)</f>
        <v>52058235.869999997</v>
      </c>
      <c r="H38" s="66">
        <f t="shared" ca="1" si="25"/>
        <v>5.9815900091390484E-2</v>
      </c>
      <c r="I38" s="66">
        <f>VLOOKUP(B38,'Input- EIA 2012 Generation Data'!$A$2:$G$52,4,FALSE)/VLOOKUP(B38,'Input- EIA 2012 Generation Data'!$A$2:$H$52,8,FALSE)</f>
        <v>3.4996546152379945E-2</v>
      </c>
      <c r="J38" s="77">
        <f t="shared" ca="1" si="21"/>
        <v>3.7089896060574438E-2</v>
      </c>
      <c r="K38" s="77">
        <f t="shared" ref="K38:V38" ca="1" si="37">MIN(J38*(1+$H38),$E38)</f>
        <v>3.9308461577733815E-2</v>
      </c>
      <c r="L38" s="77">
        <f t="shared" ca="1" si="37"/>
        <v>4.1659732588213802E-2</v>
      </c>
      <c r="M38" s="77">
        <f t="shared" ca="1" si="37"/>
        <v>4.4151646990544441E-2</v>
      </c>
      <c r="N38" s="77">
        <f t="shared" ca="1" si="37"/>
        <v>4.6792617495801186E-2</v>
      </c>
      <c r="O38" s="77">
        <f t="shared" ca="1" si="37"/>
        <v>4.959156002894468E-2</v>
      </c>
      <c r="P38" s="77">
        <f t="shared" ca="1" si="37"/>
        <v>5.2557923829012226E-2</v>
      </c>
      <c r="Q38" s="77">
        <f t="shared" ca="1" si="37"/>
        <v>5.5701723349779332E-2</v>
      </c>
      <c r="R38" s="77">
        <f t="shared" ca="1" si="37"/>
        <v>5.9033572068588003E-2</v>
      </c>
      <c r="S38" s="77">
        <f t="shared" ca="1" si="37"/>
        <v>6.2564718317480561E-2</v>
      </c>
      <c r="T38" s="77">
        <f t="shared" ca="1" si="37"/>
        <v>6.6307083257604968E-2</v>
      </c>
      <c r="U38" s="77">
        <f t="shared" ca="1" si="37"/>
        <v>7.0273301125093376E-2</v>
      </c>
      <c r="V38" s="77">
        <f t="shared" ca="1" si="37"/>
        <v>7.4476761884284162E-2</v>
      </c>
      <c r="W38" s="24" t="s">
        <v>75</v>
      </c>
      <c r="X38" s="66">
        <f t="shared" si="8"/>
        <v>3.4996546152379945E-2</v>
      </c>
      <c r="Y38" s="66">
        <f t="shared" ca="1" si="9"/>
        <v>5.8145090834713295E-2</v>
      </c>
      <c r="Z38" s="66">
        <f t="shared" ca="1" si="10"/>
        <v>7.4476761884284162E-2</v>
      </c>
      <c r="AA38" s="66">
        <f t="shared" ca="1" si="11"/>
        <v>4.9759094338816375E-2</v>
      </c>
      <c r="AB38" s="66">
        <f t="shared" ca="1" si="12"/>
        <v>5.5701723349779332E-2</v>
      </c>
      <c r="AC38" s="81"/>
      <c r="AD38" s="81"/>
      <c r="AE38" s="81"/>
      <c r="AF38" s="82"/>
      <c r="AG38" s="82"/>
      <c r="AH38" s="82"/>
      <c r="AI38" s="82"/>
      <c r="AJ38" s="82"/>
      <c r="AK38" s="82"/>
      <c r="AL38" s="82"/>
      <c r="AM38" s="81"/>
    </row>
    <row r="39" spans="1:39" x14ac:dyDescent="0.25">
      <c r="A39" s="24" t="s">
        <v>76</v>
      </c>
      <c r="B39" s="24" t="s">
        <v>28</v>
      </c>
      <c r="C39" s="30">
        <f>IF(VLOOKUP(A39,'Input - Effective RE Level'!$A$2:$B$52,2,FALSE)=0,"",VLOOKUP(A39,'Input - Effective RE Level'!$A$2:$B$52,2,FALSE))</f>
        <v>0.3</v>
      </c>
      <c r="D39" s="24" t="s">
        <v>122</v>
      </c>
      <c r="E39" s="30">
        <f t="shared" si="27"/>
        <v>0.15114</v>
      </c>
      <c r="F39" s="28">
        <f ca="1">(SUMIF('Input- EIA 2012 Generation Data'!$B$2:$H$52,D39,'Input- EIA 2012 Generation Data'!$H$2:$H$52)*AVERAGEIF($D$16:$D$66,D39,$E$16:$E$66))</f>
        <v>110786042.14611122</v>
      </c>
      <c r="G39" s="28">
        <f ca="1">SUMIF('Input- EIA 2012 Generation Data'!$B$2:$G$52,'Calc Method Using % 2012 Gen'!D39,'Input- EIA 2012 Generation Data'!$D$2:$D$52)</f>
        <v>52058235.869999997</v>
      </c>
      <c r="H39" s="66">
        <f t="shared" ca="1" si="25"/>
        <v>5.9815900091390484E-2</v>
      </c>
      <c r="I39" s="66">
        <f>VLOOKUP(B39,'Input- EIA 2012 Generation Data'!$A$2:$G$52,4,FALSE)/VLOOKUP(B39,'Input- EIA 2012 Generation Data'!$A$2:$H$52,8,FALSE)</f>
        <v>0.1811307541587161</v>
      </c>
      <c r="J39" s="77">
        <f t="shared" ca="1" si="21"/>
        <v>0.15114</v>
      </c>
      <c r="K39" s="77">
        <f t="shared" ref="K39:V39" ca="1" si="38">MIN(J39*(1+$H39),$E39)</f>
        <v>0.15114</v>
      </c>
      <c r="L39" s="77">
        <f t="shared" ca="1" si="38"/>
        <v>0.15114</v>
      </c>
      <c r="M39" s="77">
        <f t="shared" ca="1" si="38"/>
        <v>0.15114</v>
      </c>
      <c r="N39" s="77">
        <f t="shared" ca="1" si="38"/>
        <v>0.15114</v>
      </c>
      <c r="O39" s="77">
        <f t="shared" ca="1" si="38"/>
        <v>0.15114</v>
      </c>
      <c r="P39" s="77">
        <f t="shared" ca="1" si="38"/>
        <v>0.15114</v>
      </c>
      <c r="Q39" s="77">
        <f t="shared" ca="1" si="38"/>
        <v>0.15114</v>
      </c>
      <c r="R39" s="77">
        <f t="shared" ca="1" si="38"/>
        <v>0.15114</v>
      </c>
      <c r="S39" s="77">
        <f t="shared" ca="1" si="38"/>
        <v>0.15114</v>
      </c>
      <c r="T39" s="77">
        <f t="shared" ca="1" si="38"/>
        <v>0.15114</v>
      </c>
      <c r="U39" s="77">
        <f t="shared" ca="1" si="38"/>
        <v>0.15114</v>
      </c>
      <c r="V39" s="77">
        <f t="shared" ca="1" si="38"/>
        <v>0.15114</v>
      </c>
      <c r="W39" s="24" t="s">
        <v>76</v>
      </c>
      <c r="X39" s="66">
        <f t="shared" si="8"/>
        <v>0.1811307541587161</v>
      </c>
      <c r="Y39" s="66">
        <f t="shared" ca="1" si="9"/>
        <v>0.15114000000000002</v>
      </c>
      <c r="Z39" s="66">
        <f t="shared" ca="1" si="10"/>
        <v>0.15114</v>
      </c>
      <c r="AA39" s="66">
        <f t="shared" ca="1" si="11"/>
        <v>0.15114</v>
      </c>
      <c r="AB39" s="66">
        <f t="shared" ca="1" si="12"/>
        <v>0.15114</v>
      </c>
      <c r="AC39" s="81"/>
      <c r="AD39" s="81"/>
      <c r="AE39" s="81"/>
      <c r="AF39" s="82"/>
      <c r="AG39" s="82"/>
      <c r="AH39" s="82"/>
      <c r="AI39" s="82"/>
      <c r="AJ39" s="82"/>
      <c r="AK39" s="82"/>
      <c r="AL39" s="82"/>
      <c r="AM39" s="81"/>
    </row>
    <row r="40" spans="1:39" x14ac:dyDescent="0.25">
      <c r="A40" s="24" t="s">
        <v>78</v>
      </c>
      <c r="B40" s="24" t="s">
        <v>26</v>
      </c>
      <c r="C40" s="30" t="str">
        <f>IF(VLOOKUP(A40,'Input - Effective RE Level'!$A$2:$B$52,2,FALSE)=0,"",VLOOKUP(A40,'Input - Effective RE Level'!$A$2:$B$52,2,FALSE))</f>
        <v/>
      </c>
      <c r="D40" s="24" t="s">
        <v>117</v>
      </c>
      <c r="E40" s="30">
        <f t="shared" si="27"/>
        <v>0.1</v>
      </c>
      <c r="F40" s="28">
        <f ca="1">(SUMIF('Input- EIA 2012 Generation Data'!$B$2:$H$52,D40,'Input- EIA 2012 Generation Data'!$H$2:$H$52)*AVERAGEIF($D$16:$D$66,D40,$E$16:$E$66))</f>
        <v>93197688.003999993</v>
      </c>
      <c r="G40" s="28">
        <f ca="1">SUMIF('Input- EIA 2012 Generation Data'!$B$2:$G$52,'Calc Method Using % 2012 Gen'!D40,'Input- EIA 2012 Generation Data'!$D$2:$D$52)</f>
        <v>18104807.379999999</v>
      </c>
      <c r="H40" s="66">
        <f t="shared" ca="1" si="25"/>
        <v>0.13432975769258282</v>
      </c>
      <c r="I40" s="66">
        <f>VLOOKUP(B40,'Input- EIA 2012 Generation Data'!$A$2:$G$52,4,FALSE)/VLOOKUP(B40,'Input- EIA 2012 Generation Data'!$A$2:$H$52,8,FALSE)</f>
        <v>2.7648794213125077E-2</v>
      </c>
      <c r="J40" s="77">
        <f t="shared" ca="1" si="21"/>
        <v>3.1362850040266253E-2</v>
      </c>
      <c r="K40" s="77">
        <f t="shared" ref="K40:V40" ca="1" si="39">MIN(J40*(1+$H40),$E40)</f>
        <v>3.5575814086724028E-2</v>
      </c>
      <c r="L40" s="77">
        <f t="shared" ca="1" si="39"/>
        <v>4.0354704572710044E-2</v>
      </c>
      <c r="M40" s="77">
        <f t="shared" ca="1" si="39"/>
        <v>4.5775542259717951E-2</v>
      </c>
      <c r="N40" s="77">
        <f t="shared" ca="1" si="39"/>
        <v>5.1924559759712448E-2</v>
      </c>
      <c r="O40" s="77">
        <f t="shared" ca="1" si="39"/>
        <v>5.889957329052866E-2</v>
      </c>
      <c r="P40" s="77">
        <f t="shared" ca="1" si="39"/>
        <v>6.6811538698841905E-2</v>
      </c>
      <c r="Q40" s="77">
        <f t="shared" ca="1" si="39"/>
        <v>7.5786316503325957E-2</v>
      </c>
      <c r="R40" s="77">
        <f t="shared" ca="1" si="39"/>
        <v>8.5966674035631116E-2</v>
      </c>
      <c r="S40" s="77">
        <f t="shared" ca="1" si="39"/>
        <v>9.7514556528474697E-2</v>
      </c>
      <c r="T40" s="77">
        <f t="shared" ca="1" si="39"/>
        <v>0.1</v>
      </c>
      <c r="U40" s="77">
        <f t="shared" ca="1" si="39"/>
        <v>0.1</v>
      </c>
      <c r="V40" s="77">
        <f t="shared" ca="1" si="39"/>
        <v>0.1</v>
      </c>
      <c r="W40" s="24" t="s">
        <v>78</v>
      </c>
      <c r="X40" s="66">
        <f t="shared" si="8"/>
        <v>2.7648794213125077E-2</v>
      </c>
      <c r="Y40" s="66">
        <f t="shared" ca="1" si="9"/>
        <v>7.8267876107623272E-2</v>
      </c>
      <c r="Z40" s="66">
        <f t="shared" ca="1" si="10"/>
        <v>0.1</v>
      </c>
      <c r="AA40" s="66">
        <f t="shared" ca="1" si="11"/>
        <v>5.9839506102425388E-2</v>
      </c>
      <c r="AB40" s="66">
        <f t="shared" ca="1" si="12"/>
        <v>7.5786316503325957E-2</v>
      </c>
      <c r="AC40" s="81"/>
      <c r="AD40" s="81"/>
      <c r="AE40" s="81"/>
      <c r="AF40" s="82"/>
      <c r="AG40" s="82"/>
      <c r="AH40" s="82"/>
      <c r="AI40" s="82"/>
      <c r="AJ40" s="82"/>
      <c r="AK40" s="82"/>
      <c r="AL40" s="82"/>
      <c r="AM40" s="81"/>
    </row>
    <row r="41" spans="1:39" x14ac:dyDescent="0.25">
      <c r="A41" s="24" t="s">
        <v>77</v>
      </c>
      <c r="B41" s="24" t="s">
        <v>27</v>
      </c>
      <c r="C41" s="30">
        <f>IF(VLOOKUP(A41,'Input - Effective RE Level'!$A$2:$B$52,2,FALSE)=0,"",VLOOKUP(A41,'Input - Effective RE Level'!$A$2:$B$52,2,FALSE))</f>
        <v>0.1</v>
      </c>
      <c r="D41" s="24" t="s">
        <v>122</v>
      </c>
      <c r="E41" s="30">
        <f t="shared" si="27"/>
        <v>0.15114</v>
      </c>
      <c r="F41" s="28">
        <f ca="1">(SUMIF('Input- EIA 2012 Generation Data'!$B$2:$H$52,D41,'Input- EIA 2012 Generation Data'!$H$2:$H$52)*AVERAGEIF($D$16:$D$66,D41,$E$16:$E$66))</f>
        <v>110786042.14611122</v>
      </c>
      <c r="G41" s="28">
        <f ca="1">SUMIF('Input- EIA 2012 Generation Data'!$B$2:$G$52,'Calc Method Using % 2012 Gen'!D41,'Input- EIA 2012 Generation Data'!$D$2:$D$52)</f>
        <v>52058235.869999997</v>
      </c>
      <c r="H41" s="66">
        <f t="shared" ca="1" si="25"/>
        <v>5.9815900091390484E-2</v>
      </c>
      <c r="I41" s="66">
        <f>VLOOKUP(B41,'Input- EIA 2012 Generation Data'!$A$2:$G$52,4,FALSE)/VLOOKUP(B41,'Input- EIA 2012 Generation Data'!$A$2:$H$52,8,FALSE)</f>
        <v>1.4145073908427791E-2</v>
      </c>
      <c r="J41" s="77">
        <f t="shared" ca="1" si="21"/>
        <v>1.4991174236119642E-2</v>
      </c>
      <c r="K41" s="77">
        <f t="shared" ref="K41:V41" ca="1" si="40">MIN(J41*(1+$H41),$E41)</f>
        <v>1.5887884816480003E-2</v>
      </c>
      <c r="L41" s="77">
        <f t="shared" ca="1" si="40"/>
        <v>1.6838232947326091E-2</v>
      </c>
      <c r="M41" s="77">
        <f t="shared" ca="1" si="40"/>
        <v>1.7845427007018907E-2</v>
      </c>
      <c r="N41" s="77">
        <f t="shared" ca="1" si="40"/>
        <v>1.8912867285958951E-2</v>
      </c>
      <c r="O41" s="77">
        <f t="shared" ca="1" si="40"/>
        <v>2.00441574659776E-2</v>
      </c>
      <c r="P41" s="77">
        <f t="shared" ca="1" si="40"/>
        <v>2.1243116786378614E-2</v>
      </c>
      <c r="Q41" s="77">
        <f t="shared" ca="1" si="40"/>
        <v>2.2513792937702379E-2</v>
      </c>
      <c r="R41" s="77">
        <f t="shared" ca="1" si="40"/>
        <v>2.3860475726742238E-2</v>
      </c>
      <c r="S41" s="77">
        <f t="shared" ca="1" si="40"/>
        <v>2.5287711558946099E-2</v>
      </c>
      <c r="T41" s="77">
        <f t="shared" ca="1" si="40"/>
        <v>2.680031878709592E-2</v>
      </c>
      <c r="U41" s="77">
        <f t="shared" ca="1" si="40"/>
        <v>2.8403403978082265E-2</v>
      </c>
      <c r="V41" s="77">
        <f t="shared" ca="1" si="40"/>
        <v>3.0102379152690636E-2</v>
      </c>
      <c r="W41" s="24" t="s">
        <v>77</v>
      </c>
      <c r="X41" s="66">
        <f t="shared" si="8"/>
        <v>1.4145073908427791E-2</v>
      </c>
      <c r="Y41" s="66">
        <f t="shared" ca="1" si="9"/>
        <v>2.3501365068659363E-2</v>
      </c>
      <c r="Z41" s="66">
        <f t="shared" ca="1" si="10"/>
        <v>3.0102379152690636E-2</v>
      </c>
      <c r="AA41" s="66">
        <f t="shared" ca="1" si="11"/>
        <v>2.011187229660729E-2</v>
      </c>
      <c r="AB41" s="66">
        <f t="shared" ca="1" si="12"/>
        <v>2.2513792937702379E-2</v>
      </c>
      <c r="AC41" s="81"/>
      <c r="AD41" s="81"/>
      <c r="AE41" s="81"/>
      <c r="AF41" s="82"/>
      <c r="AG41" s="82"/>
      <c r="AH41" s="82"/>
      <c r="AI41" s="82"/>
      <c r="AJ41" s="82"/>
      <c r="AK41" s="82"/>
      <c r="AL41" s="82"/>
      <c r="AM41" s="81"/>
    </row>
    <row r="42" spans="1:39" x14ac:dyDescent="0.25">
      <c r="A42" s="24" t="s">
        <v>79</v>
      </c>
      <c r="B42" s="24" t="s">
        <v>25</v>
      </c>
      <c r="C42" s="30">
        <f>IF(VLOOKUP(A42,'Input - Effective RE Level'!$A$2:$B$52,2,FALSE)=0,"",VLOOKUP(A42,'Input - Effective RE Level'!$A$2:$B$52,2,FALSE))</f>
        <v>0.15</v>
      </c>
      <c r="D42" s="24" t="s">
        <v>118</v>
      </c>
      <c r="E42" s="30">
        <f t="shared" si="27"/>
        <v>0.20624999999999999</v>
      </c>
      <c r="F42" s="28">
        <f ca="1">(SUMIF('Input- EIA 2012 Generation Data'!$B$2:$H$52,D42,'Input- EIA 2012 Generation Data'!$H$2:$H$52)*AVERAGEIF($D$16:$D$66,D42,$E$16:$E$66))</f>
        <v>146877467.42893127</v>
      </c>
      <c r="G42" s="28">
        <f ca="1">SUMIF('Input- EIA 2012 Generation Data'!$B$2:$G$52,'Calc Method Using % 2012 Gen'!D42,'Input- EIA 2012 Generation Data'!$D$2:$D$52)</f>
        <v>68065726.450000003</v>
      </c>
      <c r="H42" s="66">
        <f t="shared" ca="1" si="25"/>
        <v>6.094864111130982E-2</v>
      </c>
      <c r="I42" s="66">
        <f>VLOOKUP(B42,'Input- EIA 2012 Generation Data'!$A$2:$G$52,4,FALSE)/VLOOKUP(B42,'Input- EIA 2012 Generation Data'!$A$2:$H$52,8,FALSE)</f>
        <v>4.5378962024808595E-2</v>
      </c>
      <c r="J42" s="77">
        <f t="shared" ca="1" si="21"/>
        <v>4.814474809526241E-2</v>
      </c>
      <c r="K42" s="77">
        <f t="shared" ref="K42:V42" ca="1" si="41">MIN(J42*(1+$H42),$E42)</f>
        <v>5.1079105068314978E-2</v>
      </c>
      <c r="L42" s="77">
        <f t="shared" ca="1" si="41"/>
        <v>5.4192307111410591E-2</v>
      </c>
      <c r="M42" s="77">
        <f t="shared" ca="1" si="41"/>
        <v>5.7495254588537839E-2</v>
      </c>
      <c r="N42" s="77">
        <f t="shared" ca="1" si="41"/>
        <v>6.0999512226058018E-2</v>
      </c>
      <c r="O42" s="77">
        <f t="shared" ca="1" si="41"/>
        <v>6.4717349604688987E-2</v>
      </c>
      <c r="P42" s="77">
        <f t="shared" ca="1" si="41"/>
        <v>6.8661784119420338E-2</v>
      </c>
      <c r="Q42" s="77">
        <f t="shared" ca="1" si="41"/>
        <v>7.2846626557777114E-2</v>
      </c>
      <c r="R42" s="77">
        <f t="shared" ca="1" si="41"/>
        <v>7.7286529456016675E-2</v>
      </c>
      <c r="S42" s="77">
        <f t="shared" ca="1" si="41"/>
        <v>8.199703840257011E-2</v>
      </c>
      <c r="T42" s="77">
        <f t="shared" ca="1" si="41"/>
        <v>8.6994646468358638E-2</v>
      </c>
      <c r="U42" s="77">
        <f t="shared" ca="1" si="41"/>
        <v>9.2296851954563899E-2</v>
      </c>
      <c r="V42" s="77">
        <f t="shared" ca="1" si="41"/>
        <v>9.7922219660046314E-2</v>
      </c>
      <c r="W42" s="24" t="s">
        <v>79</v>
      </c>
      <c r="X42" s="66">
        <f t="shared" si="8"/>
        <v>4.5378962024808595E-2</v>
      </c>
      <c r="Y42" s="66">
        <f t="shared" ca="1" si="9"/>
        <v>7.6121781303803787E-2</v>
      </c>
      <c r="Z42" s="66">
        <f t="shared" ca="1" si="10"/>
        <v>9.7922219660046314E-2</v>
      </c>
      <c r="AA42" s="66">
        <f t="shared" ca="1" si="11"/>
        <v>6.4944105419296461E-2</v>
      </c>
      <c r="AB42" s="66">
        <f t="shared" ca="1" si="12"/>
        <v>7.2846626557777114E-2</v>
      </c>
      <c r="AC42" s="81"/>
      <c r="AD42" s="81"/>
      <c r="AE42" s="81"/>
      <c r="AF42" s="82"/>
      <c r="AG42" s="82"/>
      <c r="AH42" s="82"/>
      <c r="AI42" s="82"/>
      <c r="AJ42" s="82"/>
      <c r="AK42" s="82"/>
      <c r="AL42" s="82"/>
      <c r="AM42" s="81"/>
    </row>
    <row r="43" spans="1:39" x14ac:dyDescent="0.25">
      <c r="A43" s="24" t="s">
        <v>82</v>
      </c>
      <c r="B43" s="24" t="s">
        <v>22</v>
      </c>
      <c r="C43" s="30" t="str">
        <f>IF(VLOOKUP(A43,'Input - Effective RE Level'!$A$2:$B$52,2,FALSE)=0,"",VLOOKUP(A43,'Input - Effective RE Level'!$A$2:$B$52,2,FALSE))</f>
        <v/>
      </c>
      <c r="D43" s="24" t="s">
        <v>119</v>
      </c>
      <c r="E43" s="30">
        <f t="shared" si="27"/>
        <v>0.2</v>
      </c>
      <c r="F43" s="28">
        <f ca="1">(SUMIF('Input- EIA 2012 Generation Data'!$B$2:$H$52,D43,'Input- EIA 2012 Generation Data'!$H$2:$H$52)*AVERAGEIF($D$16:$D$66,D43,$E$16:$E$66))</f>
        <v>150952893.01199996</v>
      </c>
      <c r="G43" s="28">
        <f ca="1">SUMIF('Input- EIA 2012 Generation Data'!$B$2:$G$52,'Calc Method Using % 2012 Gen'!D43,'Input- EIA 2012 Generation Data'!$D$2:$D$52)</f>
        <v>53227248.009999998</v>
      </c>
      <c r="H43" s="66">
        <f t="shared" ca="1" si="25"/>
        <v>8.3486858853496049E-2</v>
      </c>
      <c r="I43" s="66">
        <f>VLOOKUP(B43,'Input- EIA 2012 Generation Data'!$A$2:$G$52,4,FALSE)/VLOOKUP(B43,'Input- EIA 2012 Generation Data'!$A$2:$H$52,8,FALSE)</f>
        <v>3.935909823523507E-2</v>
      </c>
      <c r="J43" s="77">
        <f t="shared" ca="1" si="21"/>
        <v>4.2645065714201028E-2</v>
      </c>
      <c r="K43" s="77">
        <f t="shared" ref="K43:V43" ca="1" si="42">MIN(J43*(1+$H43),$E43)</f>
        <v>4.6205368296280594E-2</v>
      </c>
      <c r="L43" s="77">
        <f t="shared" ca="1" si="42"/>
        <v>5.0062909357505972E-2</v>
      </c>
      <c r="M43" s="77">
        <f t="shared" ca="1" si="42"/>
        <v>5.4242504404831436E-2</v>
      </c>
      <c r="N43" s="77">
        <f t="shared" ca="1" si="42"/>
        <v>5.8771040713937739E-2</v>
      </c>
      <c r="O43" s="77">
        <f t="shared" ca="1" si="42"/>
        <v>6.3677650294695326E-2</v>
      </c>
      <c r="P43" s="77">
        <f t="shared" ca="1" si="42"/>
        <v>6.8993897296970835E-2</v>
      </c>
      <c r="Q43" s="77">
        <f t="shared" ca="1" si="42"/>
        <v>7.4753981062355646E-2</v>
      </c>
      <c r="R43" s="77">
        <f t="shared" ca="1" si="42"/>
        <v>8.0994956128045442E-2</v>
      </c>
      <c r="S43" s="77">
        <f t="shared" ca="1" si="42"/>
        <v>8.7756970598152684E-2</v>
      </c>
      <c r="T43" s="77">
        <f t="shared" ca="1" si="42"/>
        <v>9.508352441589106E-2</v>
      </c>
      <c r="U43" s="77">
        <f t="shared" ca="1" si="42"/>
        <v>0.1030217491980935</v>
      </c>
      <c r="V43" s="77">
        <f t="shared" ca="1" si="42"/>
        <v>0.111622711432235</v>
      </c>
      <c r="W43" s="24" t="s">
        <v>82</v>
      </c>
      <c r="X43" s="66">
        <f t="shared" si="8"/>
        <v>3.935909823523507E-2</v>
      </c>
      <c r="Y43" s="66">
        <f t="shared" ca="1" si="9"/>
        <v>7.9891898554520863E-2</v>
      </c>
      <c r="Z43" s="66">
        <f t="shared" ca="1" si="10"/>
        <v>0.111622711432235</v>
      </c>
      <c r="AA43" s="66">
        <f t="shared" ca="1" si="11"/>
        <v>6.4087814754558201E-2</v>
      </c>
      <c r="AB43" s="66">
        <f t="shared" ca="1" si="12"/>
        <v>7.4753981062355646E-2</v>
      </c>
      <c r="AC43" s="81"/>
      <c r="AD43" s="81"/>
      <c r="AE43" s="81"/>
      <c r="AF43" s="82"/>
      <c r="AG43" s="82"/>
      <c r="AH43" s="82"/>
      <c r="AI43" s="82"/>
      <c r="AJ43" s="82"/>
      <c r="AK43" s="82"/>
      <c r="AL43" s="82"/>
      <c r="AM43" s="81"/>
    </row>
    <row r="44" spans="1:39" x14ac:dyDescent="0.25">
      <c r="A44" s="24" t="s">
        <v>86</v>
      </c>
      <c r="B44" s="24" t="s">
        <v>18</v>
      </c>
      <c r="C44" s="30">
        <f>IF(VLOOKUP(A44,'Input - Effective RE Level'!$A$2:$B$52,2,FALSE)=0,"",VLOOKUP(A44,'Input - Effective RE Level'!$A$2:$B$52,2,FALSE))</f>
        <v>0.22</v>
      </c>
      <c r="D44" s="24" t="s">
        <v>118</v>
      </c>
      <c r="E44" s="30">
        <f t="shared" si="27"/>
        <v>0.20624999999999999</v>
      </c>
      <c r="F44" s="28">
        <f ca="1">(SUMIF('Input- EIA 2012 Generation Data'!$B$2:$H$52,D44,'Input- EIA 2012 Generation Data'!$H$2:$H$52)*AVERAGEIF($D$16:$D$66,D44,$E$16:$E$66))</f>
        <v>146877467.42893127</v>
      </c>
      <c r="G44" s="28">
        <f ca="1">SUMIF('Input- EIA 2012 Generation Data'!$B$2:$G$52,'Calc Method Using % 2012 Gen'!D44,'Input- EIA 2012 Generation Data'!$D$2:$D$52)</f>
        <v>68065726.450000003</v>
      </c>
      <c r="H44" s="66">
        <f t="shared" ca="1" si="25"/>
        <v>6.094864111130982E-2</v>
      </c>
      <c r="I44" s="66">
        <f>VLOOKUP(B44,'Input- EIA 2012 Generation Data'!$A$2:$G$52,4,FALSE)/VLOOKUP(B44,'Input- EIA 2012 Generation Data'!$A$2:$H$52,8,FALSE)</f>
        <v>8.4400197192963294E-2</v>
      </c>
      <c r="J44" s="77">
        <f t="shared" ca="1" si="21"/>
        <v>8.9544274521400999E-2</v>
      </c>
      <c r="K44" s="77">
        <f t="shared" ref="K44:V44" ca="1" si="43">MIN(J44*(1+$H44),$E44)</f>
        <v>9.5001876372778474E-2</v>
      </c>
      <c r="L44" s="77">
        <f t="shared" ca="1" si="43"/>
        <v>0.10079211164072398</v>
      </c>
      <c r="M44" s="77">
        <f t="shared" ca="1" si="43"/>
        <v>0.10693525387996554</v>
      </c>
      <c r="N44" s="77">
        <f t="shared" ca="1" si="43"/>
        <v>0.11345281229084236</v>
      </c>
      <c r="O44" s="77">
        <f t="shared" ca="1" si="43"/>
        <v>0.12036760703022571</v>
      </c>
      <c r="P44" s="77">
        <f t="shared" ca="1" si="43"/>
        <v>0.12770384911253813</v>
      </c>
      <c r="Q44" s="77">
        <f t="shared" ca="1" si="43"/>
        <v>0.13548722518063108</v>
      </c>
      <c r="R44" s="77">
        <f t="shared" ca="1" si="43"/>
        <v>0.14374498744333258</v>
      </c>
      <c r="S44" s="77">
        <f t="shared" ca="1" si="43"/>
        <v>0.152506049094566</v>
      </c>
      <c r="T44" s="77">
        <f t="shared" ca="1" si="43"/>
        <v>0.16180108554813449</v>
      </c>
      <c r="U44" s="77">
        <f t="shared" ca="1" si="43"/>
        <v>0.17166264184262808</v>
      </c>
      <c r="V44" s="77">
        <f t="shared" ca="1" si="43"/>
        <v>0.18212524659251375</v>
      </c>
      <c r="W44" s="24" t="s">
        <v>86</v>
      </c>
      <c r="X44" s="66">
        <f t="shared" si="8"/>
        <v>8.4400197192963294E-2</v>
      </c>
      <c r="Y44" s="66">
        <f t="shared" ca="1" si="9"/>
        <v>0.14157867580153777</v>
      </c>
      <c r="Z44" s="66">
        <f t="shared" ca="1" si="10"/>
        <v>0.18212524659251375</v>
      </c>
      <c r="AA44" s="66">
        <f t="shared" ca="1" si="11"/>
        <v>0.12078934949884057</v>
      </c>
      <c r="AB44" s="66">
        <f t="shared" ca="1" si="12"/>
        <v>0.13548722518063108</v>
      </c>
      <c r="AC44" s="81"/>
      <c r="AD44" s="81"/>
      <c r="AE44" s="81"/>
      <c r="AF44" s="82"/>
      <c r="AG44" s="82"/>
      <c r="AH44" s="82"/>
      <c r="AI44" s="82"/>
      <c r="AJ44" s="82"/>
      <c r="AK44" s="82"/>
      <c r="AL44" s="82"/>
      <c r="AM44" s="81"/>
    </row>
    <row r="45" spans="1:39" x14ac:dyDescent="0.25">
      <c r="A45" s="24" t="s">
        <v>83</v>
      </c>
      <c r="B45" s="24" t="s">
        <v>21</v>
      </c>
      <c r="C45" s="30">
        <f>IF(VLOOKUP(A45,'Input - Effective RE Level'!$A$2:$B$52,2,FALSE)=0,"",VLOOKUP(A45,'Input - Effective RE Level'!$A$2:$B$52,2,FALSE))</f>
        <v>0.20300000000000001</v>
      </c>
      <c r="D45" s="24" t="s">
        <v>120</v>
      </c>
      <c r="E45" s="30">
        <f t="shared" si="27"/>
        <v>0.25031738739456966</v>
      </c>
      <c r="F45" s="28">
        <f ca="1">(SUMIF('Input- EIA 2012 Generation Data'!$B$2:$H$52,D45,'Input- EIA 2012 Generation Data'!$H$2:$H$52)*AVERAGEIF($D$16:$D$66,D45,$E$16:$E$66))</f>
        <v>64245372.586592935</v>
      </c>
      <c r="G45" s="28">
        <f ca="1">SUMIF('Input- EIA 2012 Generation Data'!$B$2:$G$52,'Calc Method Using % 2012 Gen'!D45,'Input- EIA 2012 Generation Data'!$D$2:$D$52)</f>
        <v>13749515.33</v>
      </c>
      <c r="H45" s="66">
        <f t="shared" ca="1" si="25"/>
        <v>0.12591132996001231</v>
      </c>
      <c r="I45" s="66">
        <f>VLOOKUP(B45,'Input- EIA 2012 Generation Data'!$A$2:$G$52,4,FALSE)/VLOOKUP(B45,'Input- EIA 2012 Generation Data'!$A$2:$H$52,8,FALSE)</f>
        <v>7.1701301722740238E-2</v>
      </c>
      <c r="J45" s="77">
        <f t="shared" ca="1" si="21"/>
        <v>8.0729307982514584E-2</v>
      </c>
      <c r="K45" s="77">
        <f t="shared" ref="K45:V45" ca="1" si="44">MIN(J45*(1+$H45),$E45)</f>
        <v>9.0894042517344439E-2</v>
      </c>
      <c r="L45" s="77">
        <f t="shared" ca="1" si="44"/>
        <v>0.10233863229614518</v>
      </c>
      <c r="M45" s="77">
        <f t="shared" ca="1" si="44"/>
        <v>0.11522422559484148</v>
      </c>
      <c r="N45" s="77">
        <f t="shared" ca="1" si="44"/>
        <v>0.12973226108310046</v>
      </c>
      <c r="O45" s="77">
        <f t="shared" ca="1" si="44"/>
        <v>0.14606702261479318</v>
      </c>
      <c r="P45" s="77">
        <f t="shared" ca="1" si="44"/>
        <v>0.16445851569552097</v>
      </c>
      <c r="Q45" s="77">
        <f t="shared" ca="1" si="44"/>
        <v>0.18516570612999358</v>
      </c>
      <c r="R45" s="77">
        <f t="shared" ca="1" si="44"/>
        <v>0.20848016645180589</v>
      </c>
      <c r="S45" s="77">
        <f t="shared" ca="1" si="44"/>
        <v>0.23473018148003752</v>
      </c>
      <c r="T45" s="77">
        <f t="shared" ca="1" si="44"/>
        <v>0.25031738739456966</v>
      </c>
      <c r="U45" s="77">
        <f t="shared" ca="1" si="44"/>
        <v>0.25031738739456966</v>
      </c>
      <c r="V45" s="77">
        <f t="shared" ca="1" si="44"/>
        <v>0.25031738739456966</v>
      </c>
      <c r="W45" s="24" t="s">
        <v>83</v>
      </c>
      <c r="X45" s="66">
        <f t="shared" si="8"/>
        <v>7.1701301722740238E-2</v>
      </c>
      <c r="Y45" s="66">
        <f t="shared" ca="1" si="9"/>
        <v>0.1934810241233802</v>
      </c>
      <c r="Z45" s="66">
        <f t="shared" ca="1" si="10"/>
        <v>0.25031738739456966</v>
      </c>
      <c r="AA45" s="66">
        <f t="shared" ca="1" si="11"/>
        <v>0.14812954622364993</v>
      </c>
      <c r="AB45" s="66">
        <f t="shared" ca="1" si="12"/>
        <v>0.18516570612999358</v>
      </c>
      <c r="AC45" s="81"/>
      <c r="AD45" s="81"/>
      <c r="AE45" s="81"/>
      <c r="AF45" s="82"/>
      <c r="AG45" s="82"/>
      <c r="AH45" s="82"/>
      <c r="AI45" s="82"/>
      <c r="AJ45" s="82"/>
      <c r="AK45" s="82"/>
      <c r="AL45" s="82"/>
      <c r="AM45" s="81"/>
    </row>
    <row r="46" spans="1:39" x14ac:dyDescent="0.25">
      <c r="A46" s="24" t="s">
        <v>84</v>
      </c>
      <c r="B46" s="24" t="s">
        <v>20</v>
      </c>
      <c r="C46" s="30">
        <f>IF(VLOOKUP(A46,'Input - Effective RE Level'!$A$2:$B$52,2,FALSE)=0,"",VLOOKUP(A46,'Input - Effective RE Level'!$A$2:$B$52,2,FALSE))</f>
        <v>0.21908999999999998</v>
      </c>
      <c r="D46" s="24" t="s">
        <v>121</v>
      </c>
      <c r="E46" s="30">
        <f t="shared" si="27"/>
        <v>0.15821500000000002</v>
      </c>
      <c r="F46" s="28">
        <f ca="1">(SUMIF('Input- EIA 2012 Generation Data'!$B$2:$H$52,D46,'Input- EIA 2012 Generation Data'!$H$2:$H$52)*AVERAGEIF($D$16:$D$66,D46,$E$16:$E$66))</f>
        <v>96368237.239952162</v>
      </c>
      <c r="G46" s="28">
        <f ca="1">SUMIF('Input- EIA 2012 Generation Data'!$B$2:$G$52,'Calc Method Using % 2012 Gen'!D46,'Input- EIA 2012 Generation Data'!$D$2:$D$52)</f>
        <v>12162663.629999999</v>
      </c>
      <c r="H46" s="66">
        <f t="shared" ca="1" si="25"/>
        <v>0.17259099671408151</v>
      </c>
      <c r="I46" s="66">
        <f>VLOOKUP(B46,'Input- EIA 2012 Generation Data'!$A$2:$G$52,4,FALSE)/VLOOKUP(B46,'Input- EIA 2012 Generation Data'!$A$2:$H$52,8,FALSE)</f>
        <v>1.962377816649092E-2</v>
      </c>
      <c r="J46" s="77">
        <f t="shared" ca="1" si="21"/>
        <v>2.3010665599541617E-2</v>
      </c>
      <c r="K46" s="77">
        <f t="shared" ref="K46:V46" ca="1" si="45">MIN(J46*(1+$H46),$E46)</f>
        <v>2.6982099310420934E-2</v>
      </c>
      <c r="L46" s="77">
        <f t="shared" ca="1" si="45"/>
        <v>3.1638966723844815E-2</v>
      </c>
      <c r="M46" s="77">
        <f t="shared" ca="1" si="45"/>
        <v>3.7099567525716852E-2</v>
      </c>
      <c r="N46" s="77">
        <f t="shared" ca="1" si="45"/>
        <v>4.3502618862641694E-2</v>
      </c>
      <c r="O46" s="77">
        <f t="shared" ca="1" si="45"/>
        <v>5.1010779211817826E-2</v>
      </c>
      <c r="P46" s="77">
        <f t="shared" ca="1" si="45"/>
        <v>5.9814780439147418E-2</v>
      </c>
      <c r="Q46" s="77">
        <f t="shared" ca="1" si="45"/>
        <v>7.0138273013373817E-2</v>
      </c>
      <c r="R46" s="77">
        <f t="shared" ca="1" si="45"/>
        <v>8.2243507460556364E-2</v>
      </c>
      <c r="S46" s="77">
        <f t="shared" ca="1" si="45"/>
        <v>9.6437996386435784E-2</v>
      </c>
      <c r="T46" s="77">
        <f t="shared" ca="1" si="45"/>
        <v>0.11308232630387972</v>
      </c>
      <c r="U46" s="77">
        <f t="shared" ca="1" si="45"/>
        <v>0.13259931771141331</v>
      </c>
      <c r="V46" s="77">
        <f t="shared" ca="1" si="45"/>
        <v>0.1554847661188333</v>
      </c>
      <c r="W46" s="24" t="s">
        <v>84</v>
      </c>
      <c r="X46" s="66">
        <f t="shared" si="8"/>
        <v>1.962377816649092E-2</v>
      </c>
      <c r="Y46" s="66">
        <f t="shared" ca="1" si="9"/>
        <v>8.414139330338162E-2</v>
      </c>
      <c r="Z46" s="66">
        <f t="shared" ca="1" si="10"/>
        <v>0.1554847661188333</v>
      </c>
      <c r="AA46" s="66">
        <f t="shared" ca="1" si="11"/>
        <v>5.231320381053952E-2</v>
      </c>
      <c r="AB46" s="66">
        <f t="shared" ca="1" si="12"/>
        <v>7.0138273013373817E-2</v>
      </c>
      <c r="AC46" s="81"/>
      <c r="AD46" s="81"/>
      <c r="AE46" s="81"/>
      <c r="AF46" s="82"/>
      <c r="AG46" s="82"/>
      <c r="AH46" s="82"/>
      <c r="AI46" s="82"/>
      <c r="AJ46" s="82"/>
      <c r="AK46" s="82"/>
      <c r="AL46" s="82"/>
      <c r="AM46" s="81"/>
    </row>
    <row r="47" spans="1:39" x14ac:dyDescent="0.25">
      <c r="A47" s="24" t="s">
        <v>85</v>
      </c>
      <c r="B47" s="24" t="s">
        <v>19</v>
      </c>
      <c r="C47" s="30">
        <f>IF(VLOOKUP(A47,'Input - Effective RE Level'!$A$2:$B$52,2,FALSE)=0,"",VLOOKUP(A47,'Input - Effective RE Level'!$A$2:$B$52,2,FALSE))</f>
        <v>0.2</v>
      </c>
      <c r="D47" s="24" t="s">
        <v>118</v>
      </c>
      <c r="E47" s="30">
        <f t="shared" si="27"/>
        <v>0.20624999999999999</v>
      </c>
      <c r="F47" s="28">
        <f ca="1">(SUMIF('Input- EIA 2012 Generation Data'!$B$2:$H$52,D47,'Input- EIA 2012 Generation Data'!$H$2:$H$52)*AVERAGEIF($D$16:$D$66,D47,$E$16:$E$66))</f>
        <v>146877467.42893127</v>
      </c>
      <c r="G47" s="28">
        <f ca="1">SUMIF('Input- EIA 2012 Generation Data'!$B$2:$G$52,'Calc Method Using % 2012 Gen'!D47,'Input- EIA 2012 Generation Data'!$D$2:$D$52)</f>
        <v>68065726.450000003</v>
      </c>
      <c r="H47" s="66">
        <f t="shared" ca="1" si="25"/>
        <v>6.094864111130982E-2</v>
      </c>
      <c r="I47" s="66">
        <f>VLOOKUP(B47,'Input- EIA 2012 Generation Data'!$A$2:$G$52,4,FALSE)/VLOOKUP(B47,'Input- EIA 2012 Generation Data'!$A$2:$H$52,8,FALSE)</f>
        <v>0.11242213545903541</v>
      </c>
      <c r="J47" s="77">
        <f t="shared" ca="1" si="21"/>
        <v>0.11927411184609522</v>
      </c>
      <c r="K47" s="77">
        <f t="shared" ref="K47:V47" ca="1" si="46">MIN(J47*(1+$H47),$E47)</f>
        <v>0.12654370688287311</v>
      </c>
      <c r="L47" s="77">
        <f t="shared" ca="1" si="46"/>
        <v>0.13425637385857214</v>
      </c>
      <c r="M47" s="77">
        <f t="shared" ca="1" si="46"/>
        <v>0.1424391174057841</v>
      </c>
      <c r="N47" s="77">
        <f t="shared" ca="1" si="46"/>
        <v>0.15112058805276096</v>
      </c>
      <c r="O47" s="77">
        <f t="shared" ca="1" si="46"/>
        <v>0.16033118253851877</v>
      </c>
      <c r="P47" s="77">
        <f t="shared" ca="1" si="46"/>
        <v>0.17010315024201086</v>
      </c>
      <c r="Q47" s="77">
        <f t="shared" ca="1" si="46"/>
        <v>0.18047070609801441</v>
      </c>
      <c r="R47" s="77">
        <f t="shared" ca="1" si="46"/>
        <v>0.19147015039508697</v>
      </c>
      <c r="S47" s="77">
        <f t="shared" ca="1" si="46"/>
        <v>0.20313999587504564</v>
      </c>
      <c r="T47" s="77">
        <f t="shared" ca="1" si="46"/>
        <v>0.20624999999999999</v>
      </c>
      <c r="U47" s="77">
        <f t="shared" ca="1" si="46"/>
        <v>0.20624999999999999</v>
      </c>
      <c r="V47" s="77">
        <f t="shared" ca="1" si="46"/>
        <v>0.20624999999999999</v>
      </c>
      <c r="W47" s="24" t="s">
        <v>85</v>
      </c>
      <c r="X47" s="66">
        <f t="shared" si="8"/>
        <v>0.11242213545903541</v>
      </c>
      <c r="Y47" s="66">
        <f t="shared" ca="1" si="9"/>
        <v>0.1817824890607222</v>
      </c>
      <c r="Z47" s="66">
        <f t="shared" ca="1" si="10"/>
        <v>0.20624999999999999</v>
      </c>
      <c r="AA47" s="66">
        <f t="shared" ca="1" si="11"/>
        <v>0.16089294886741781</v>
      </c>
      <c r="AB47" s="66">
        <f t="shared" ca="1" si="12"/>
        <v>0.18047070609801441</v>
      </c>
      <c r="AC47" s="81"/>
      <c r="AD47" s="81"/>
      <c r="AE47" s="81"/>
      <c r="AF47" s="82"/>
      <c r="AG47" s="82"/>
      <c r="AH47" s="82"/>
      <c r="AI47" s="82"/>
      <c r="AJ47" s="82"/>
      <c r="AK47" s="82"/>
      <c r="AL47" s="82"/>
      <c r="AM47" s="81"/>
    </row>
    <row r="48" spans="1:39" x14ac:dyDescent="0.25">
      <c r="A48" s="24" t="s">
        <v>87</v>
      </c>
      <c r="B48" s="24" t="s">
        <v>17</v>
      </c>
      <c r="C48" s="30">
        <f>IF(VLOOKUP(A48,'Input - Effective RE Level'!$A$2:$B$52,2,FALSE)=0,"",VLOOKUP(A48,'Input - Effective RE Level'!$A$2:$B$52,2,FALSE))</f>
        <v>0.28790432436741797</v>
      </c>
      <c r="D48" s="24" t="s">
        <v>120</v>
      </c>
      <c r="E48" s="30">
        <f t="shared" si="27"/>
        <v>0.25031738739456966</v>
      </c>
      <c r="F48" s="28">
        <f ca="1">(SUMIF('Input- EIA 2012 Generation Data'!$B$2:$H$52,D48,'Input- EIA 2012 Generation Data'!$H$2:$H$52)*AVERAGEIF($D$16:$D$66,D48,$E$16:$E$66))</f>
        <v>64245372.586592935</v>
      </c>
      <c r="G48" s="28">
        <f ca="1">SUMIF('Input- EIA 2012 Generation Data'!$B$2:$G$52,'Calc Method Using % 2012 Gen'!D48,'Input- EIA 2012 Generation Data'!$D$2:$D$52)</f>
        <v>13749515.33</v>
      </c>
      <c r="H48" s="66">
        <f t="shared" ca="1" si="25"/>
        <v>0.12591132996001231</v>
      </c>
      <c r="I48" s="66">
        <f>VLOOKUP(B48,'Input- EIA 2012 Generation Data'!$A$2:$G$52,4,FALSE)/VLOOKUP(B48,'Input- EIA 2012 Generation Data'!$A$2:$H$52,8,FALSE)</f>
        <v>3.8244784030585413E-2</v>
      </c>
      <c r="J48" s="77">
        <f t="shared" ca="1" si="21"/>
        <v>4.3060235651909862E-2</v>
      </c>
      <c r="K48" s="77">
        <f t="shared" ref="K48:V48" ca="1" si="47">MIN(J48*(1+$H48),$E48)</f>
        <v>4.848200719123337E-2</v>
      </c>
      <c r="L48" s="77">
        <f t="shared" ca="1" si="47"/>
        <v>5.4586441195812442E-2</v>
      </c>
      <c r="M48" s="77">
        <f t="shared" ca="1" si="47"/>
        <v>6.145949260456119E-2</v>
      </c>
      <c r="N48" s="77">
        <f t="shared" ca="1" si="47"/>
        <v>6.919793905706903E-2</v>
      </c>
      <c r="O48" s="77">
        <f t="shared" ca="1" si="47"/>
        <v>7.791074359423647E-2</v>
      </c>
      <c r="P48" s="77">
        <f t="shared" ca="1" si="47"/>
        <v>8.7720588938360294E-2</v>
      </c>
      <c r="Q48" s="77">
        <f t="shared" ca="1" si="47"/>
        <v>9.8765604956464789E-2</v>
      </c>
      <c r="R48" s="77">
        <f t="shared" ca="1" si="47"/>
        <v>0.11120131363083846</v>
      </c>
      <c r="S48" s="77">
        <f t="shared" ca="1" si="47"/>
        <v>0.12520281892339777</v>
      </c>
      <c r="T48" s="77">
        <f t="shared" ca="1" si="47"/>
        <v>0.14096727236878537</v>
      </c>
      <c r="U48" s="77">
        <f t="shared" ca="1" si="47"/>
        <v>0.15871664911357442</v>
      </c>
      <c r="V48" s="77">
        <f t="shared" ca="1" si="47"/>
        <v>0.17870087349026118</v>
      </c>
      <c r="W48" s="24" t="s">
        <v>87</v>
      </c>
      <c r="X48" s="66">
        <f t="shared" si="8"/>
        <v>3.8244784030585413E-2</v>
      </c>
      <c r="Y48" s="66">
        <f t="shared" ca="1" si="9"/>
        <v>0.11098432966775491</v>
      </c>
      <c r="Z48" s="66">
        <f t="shared" ca="1" si="10"/>
        <v>0.17870087349026118</v>
      </c>
      <c r="AA48" s="66">
        <f t="shared" ca="1" si="11"/>
        <v>7.9010873830138356E-2</v>
      </c>
      <c r="AB48" s="66">
        <f t="shared" ca="1" si="12"/>
        <v>9.8765604956464789E-2</v>
      </c>
      <c r="AC48" s="81"/>
      <c r="AD48" s="81"/>
      <c r="AE48" s="81"/>
      <c r="AF48" s="82"/>
      <c r="AG48" s="82"/>
      <c r="AH48" s="82"/>
      <c r="AI48" s="82"/>
      <c r="AJ48" s="82"/>
      <c r="AK48" s="82"/>
      <c r="AL48" s="82"/>
      <c r="AM48" s="81"/>
    </row>
    <row r="49" spans="1:39" x14ac:dyDescent="0.25">
      <c r="A49" s="24" t="s">
        <v>80</v>
      </c>
      <c r="B49" s="24" t="s">
        <v>24</v>
      </c>
      <c r="C49" s="30">
        <f>IF(VLOOKUP(A49,'Input - Effective RE Level'!$A$2:$B$52,2,FALSE)=0,"",VLOOKUP(A49,'Input - Effective RE Level'!$A$2:$B$52,2,FALSE))</f>
        <v>0.1</v>
      </c>
      <c r="D49" s="24" t="s">
        <v>117</v>
      </c>
      <c r="E49" s="30">
        <f t="shared" si="27"/>
        <v>0.1</v>
      </c>
      <c r="F49" s="28">
        <f ca="1">(SUMIF('Input- EIA 2012 Generation Data'!$B$2:$H$52,D49,'Input- EIA 2012 Generation Data'!$H$2:$H$52)*AVERAGEIF($D$16:$D$66,D49,$E$16:$E$66))</f>
        <v>93197688.003999993</v>
      </c>
      <c r="G49" s="28">
        <f ca="1">SUMIF('Input- EIA 2012 Generation Data'!$B$2:$G$52,'Calc Method Using % 2012 Gen'!D49,'Input- EIA 2012 Generation Data'!$D$2:$D$52)</f>
        <v>18104807.379999999</v>
      </c>
      <c r="H49" s="66">
        <f t="shared" ca="1" si="25"/>
        <v>0.13432975769258282</v>
      </c>
      <c r="I49" s="66">
        <f>VLOOKUP(B49,'Input- EIA 2012 Generation Data'!$A$2:$G$52,4,FALSE)/VLOOKUP(B49,'Input- EIA 2012 Generation Data'!$A$2:$H$52,8,FALSE)</f>
        <v>2.3173452713865152E-2</v>
      </c>
      <c r="J49" s="77">
        <f t="shared" ca="1" si="21"/>
        <v>2.6286337001819184E-2</v>
      </c>
      <c r="K49" s="77">
        <f t="shared" ref="K49:V49" ca="1" si="48">MIN(J49*(1+$H49),$E49)</f>
        <v>2.981737428189913E-2</v>
      </c>
      <c r="L49" s="77">
        <f t="shared" ca="1" si="48"/>
        <v>3.3822734944215692E-2</v>
      </c>
      <c r="M49" s="77">
        <f t="shared" ca="1" si="48"/>
        <v>3.8366134733772636E-2</v>
      </c>
      <c r="N49" s="77">
        <f t="shared" ca="1" si="48"/>
        <v>4.3519848316161298E-2</v>
      </c>
      <c r="O49" s="77">
        <f t="shared" ca="1" si="48"/>
        <v>4.9365858995289204E-2</v>
      </c>
      <c r="P49" s="77">
        <f t="shared" ca="1" si="48"/>
        <v>5.5997162872412611E-2</v>
      </c>
      <c r="Q49" s="77">
        <f t="shared" ca="1" si="48"/>
        <v>6.351924819253589E-2</v>
      </c>
      <c r="R49" s="77">
        <f t="shared" ca="1" si="48"/>
        <v>7.205177341105426E-2</v>
      </c>
      <c r="S49" s="77">
        <f t="shared" ca="1" si="48"/>
        <v>8.173047067468206E-2</v>
      </c>
      <c r="T49" s="77">
        <f t="shared" ca="1" si="48"/>
        <v>9.2709304996512851E-2</v>
      </c>
      <c r="U49" s="77">
        <f t="shared" ca="1" si="48"/>
        <v>0.1</v>
      </c>
      <c r="V49" s="77">
        <f t="shared" ca="1" si="48"/>
        <v>0.1</v>
      </c>
      <c r="W49" s="24" t="s">
        <v>80</v>
      </c>
      <c r="X49" s="66">
        <f t="shared" si="8"/>
        <v>2.3173452713865152E-2</v>
      </c>
      <c r="Y49" s="66">
        <f t="shared" ca="1" si="9"/>
        <v>6.9725980219242076E-2</v>
      </c>
      <c r="Z49" s="66">
        <f t="shared" ca="1" si="10"/>
        <v>0.1</v>
      </c>
      <c r="AA49" s="66">
        <f t="shared" ca="1" si="11"/>
        <v>5.0153650622034328E-2</v>
      </c>
      <c r="AB49" s="66">
        <f t="shared" ca="1" si="12"/>
        <v>6.351924819253589E-2</v>
      </c>
      <c r="AC49" s="81"/>
      <c r="AD49" s="81"/>
      <c r="AE49" s="81"/>
      <c r="AF49" s="82"/>
      <c r="AG49" s="82"/>
      <c r="AH49" s="82"/>
      <c r="AI49" s="82"/>
      <c r="AJ49" s="82"/>
      <c r="AK49" s="82"/>
      <c r="AL49" s="82"/>
      <c r="AM49" s="81"/>
    </row>
    <row r="50" spans="1:39" x14ac:dyDescent="0.25">
      <c r="A50" s="24" t="s">
        <v>81</v>
      </c>
      <c r="B50" s="24" t="s">
        <v>23</v>
      </c>
      <c r="C50" s="30" t="str">
        <f>IF(VLOOKUP(A50,'Input - Effective RE Level'!$A$2:$B$52,2,FALSE)=0,"",VLOOKUP(A50,'Input - Effective RE Level'!$A$2:$B$52,2,FALSE))</f>
        <v/>
      </c>
      <c r="D50" s="24" t="s">
        <v>122</v>
      </c>
      <c r="E50" s="30">
        <f t="shared" si="27"/>
        <v>0.15114</v>
      </c>
      <c r="F50" s="28">
        <f ca="1">(SUMIF('Input- EIA 2012 Generation Data'!$B$2:$H$52,D50,'Input- EIA 2012 Generation Data'!$H$2:$H$52)*AVERAGEIF($D$16:$D$66,D50,$E$16:$E$66))</f>
        <v>110786042.14611122</v>
      </c>
      <c r="G50" s="28">
        <f ca="1">SUMIF('Input- EIA 2012 Generation Data'!$B$2:$G$52,'Calc Method Using % 2012 Gen'!D50,'Input- EIA 2012 Generation Data'!$D$2:$D$52)</f>
        <v>52058235.869999997</v>
      </c>
      <c r="H50" s="66">
        <f t="shared" ca="1" si="25"/>
        <v>5.9815900091390484E-2</v>
      </c>
      <c r="I50" s="66">
        <f>VLOOKUP(B50,'Input- EIA 2012 Generation Data'!$A$2:$G$52,4,FALSE)/VLOOKUP(B50,'Input- EIA 2012 Generation Data'!$A$2:$H$52,8,FALSE)</f>
        <v>0.14615996625682381</v>
      </c>
      <c r="J50" s="77">
        <f t="shared" ca="1" si="21"/>
        <v>0.15114</v>
      </c>
      <c r="K50" s="77">
        <f t="shared" ref="K50:V50" ca="1" si="49">MIN(J50*(1+$H50),$E50)</f>
        <v>0.15114</v>
      </c>
      <c r="L50" s="77">
        <f t="shared" ca="1" si="49"/>
        <v>0.15114</v>
      </c>
      <c r="M50" s="77">
        <f t="shared" ca="1" si="49"/>
        <v>0.15114</v>
      </c>
      <c r="N50" s="77">
        <f t="shared" ca="1" si="49"/>
        <v>0.15114</v>
      </c>
      <c r="O50" s="77">
        <f t="shared" ca="1" si="49"/>
        <v>0.15114</v>
      </c>
      <c r="P50" s="77">
        <f t="shared" ca="1" si="49"/>
        <v>0.15114</v>
      </c>
      <c r="Q50" s="77">
        <f t="shared" ca="1" si="49"/>
        <v>0.15114</v>
      </c>
      <c r="R50" s="77">
        <f t="shared" ca="1" si="49"/>
        <v>0.15114</v>
      </c>
      <c r="S50" s="77">
        <f t="shared" ca="1" si="49"/>
        <v>0.15114</v>
      </c>
      <c r="T50" s="77">
        <f t="shared" ca="1" si="49"/>
        <v>0.15114</v>
      </c>
      <c r="U50" s="77">
        <f t="shared" ca="1" si="49"/>
        <v>0.15114</v>
      </c>
      <c r="V50" s="77">
        <f t="shared" ca="1" si="49"/>
        <v>0.15114</v>
      </c>
      <c r="W50" s="24" t="s">
        <v>81</v>
      </c>
      <c r="X50" s="66">
        <f t="shared" si="8"/>
        <v>0.14615996625682381</v>
      </c>
      <c r="Y50" s="66">
        <f t="shared" ca="1" si="9"/>
        <v>0.15114000000000002</v>
      </c>
      <c r="Z50" s="66">
        <f t="shared" ca="1" si="10"/>
        <v>0.15114</v>
      </c>
      <c r="AA50" s="66">
        <f t="shared" ca="1" si="11"/>
        <v>0.15114</v>
      </c>
      <c r="AB50" s="66">
        <f t="shared" ca="1" si="12"/>
        <v>0.15114</v>
      </c>
      <c r="AC50" s="81"/>
      <c r="AD50" s="81"/>
      <c r="AE50" s="81"/>
      <c r="AF50" s="82"/>
      <c r="AG50" s="82"/>
      <c r="AH50" s="82"/>
      <c r="AI50" s="82"/>
      <c r="AJ50" s="82"/>
      <c r="AK50" s="82"/>
      <c r="AL50" s="82"/>
      <c r="AM50" s="81"/>
    </row>
    <row r="51" spans="1:39" x14ac:dyDescent="0.25">
      <c r="A51" s="24" t="s">
        <v>88</v>
      </c>
      <c r="B51" s="24" t="s">
        <v>16</v>
      </c>
      <c r="C51" s="30">
        <f>IF(VLOOKUP(A51,'Input - Effective RE Level'!$A$2:$B$52,2,FALSE)=0,"",VLOOKUP(A51,'Input - Effective RE Level'!$A$2:$B$52,2,FALSE))</f>
        <v>8.5000000000000006E-2</v>
      </c>
      <c r="D51" s="24" t="s">
        <v>121</v>
      </c>
      <c r="E51" s="30">
        <f t="shared" si="27"/>
        <v>0.15821500000000002</v>
      </c>
      <c r="F51" s="28">
        <f ca="1">(SUMIF('Input- EIA 2012 Generation Data'!$B$2:$H$52,D51,'Input- EIA 2012 Generation Data'!$H$2:$H$52)*AVERAGEIF($D$16:$D$66,D51,$E$16:$E$66))</f>
        <v>96368237.239952162</v>
      </c>
      <c r="G51" s="28">
        <f ca="1">SUMIF('Input- EIA 2012 Generation Data'!$B$2:$G$52,'Calc Method Using % 2012 Gen'!D51,'Input- EIA 2012 Generation Data'!$D$2:$D$52)</f>
        <v>12162663.629999999</v>
      </c>
      <c r="H51" s="66">
        <f t="shared" ca="1" si="25"/>
        <v>0.17259099671408151</v>
      </c>
      <c r="I51" s="66">
        <f>VLOOKUP(B51,'Input- EIA 2012 Generation Data'!$A$2:$G$52,4,FALSE)/VLOOKUP(B51,'Input- EIA 2012 Generation Data'!$A$2:$H$52,8,FALSE)</f>
        <v>1.3400223204462018E-2</v>
      </c>
      <c r="J51" s="77">
        <f t="shared" ca="1" si="21"/>
        <v>1.5712981083511282E-2</v>
      </c>
      <c r="K51" s="77">
        <f t="shared" ref="K51:V51" ca="1" si="50">MIN(J51*(1+$H51),$E51)</f>
        <v>1.8424900150064004E-2</v>
      </c>
      <c r="L51" s="77">
        <f t="shared" ca="1" si="50"/>
        <v>2.1604872031320981E-2</v>
      </c>
      <c r="M51" s="77">
        <f t="shared" ca="1" si="50"/>
        <v>2.5333678429086851E-2</v>
      </c>
      <c r="N51" s="77">
        <f t="shared" ca="1" si="50"/>
        <v>2.9706043239596979E-2</v>
      </c>
      <c r="O51" s="77">
        <f t="shared" ca="1" si="50"/>
        <v>3.4833038850750626E-2</v>
      </c>
      <c r="P51" s="77">
        <f t="shared" ca="1" si="50"/>
        <v>4.0844907744582E-2</v>
      </c>
      <c r="Q51" s="77">
        <f t="shared" ca="1" si="50"/>
        <v>4.7894371082914111E-2</v>
      </c>
      <c r="R51" s="77">
        <f t="shared" ca="1" si="50"/>
        <v>5.6160508325108341E-2</v>
      </c>
      <c r="S51" s="77">
        <f t="shared" ca="1" si="50"/>
        <v>6.5853306432908265E-2</v>
      </c>
      <c r="T51" s="77">
        <f t="shared" ca="1" si="50"/>
        <v>7.7218994227081741E-2</v>
      </c>
      <c r="U51" s="77">
        <f t="shared" ca="1" si="50"/>
        <v>9.0546297405992682E-2</v>
      </c>
      <c r="V51" s="77">
        <f t="shared" ca="1" si="50"/>
        <v>0.10617377312406261</v>
      </c>
      <c r="W51" s="24" t="s">
        <v>88</v>
      </c>
      <c r="X51" s="66">
        <f t="shared" si="8"/>
        <v>1.3400223204462018E-2</v>
      </c>
      <c r="Y51" s="66">
        <f t="shared" ca="1" si="9"/>
        <v>5.7456491886208418E-2</v>
      </c>
      <c r="Z51" s="66">
        <f t="shared" ca="1" si="10"/>
        <v>0.10617377312406261</v>
      </c>
      <c r="AA51" s="66">
        <f t="shared" ca="1" si="11"/>
        <v>3.5722407869386116E-2</v>
      </c>
      <c r="AB51" s="66">
        <f t="shared" ca="1" si="12"/>
        <v>4.7894371082914111E-2</v>
      </c>
      <c r="AC51" s="81"/>
      <c r="AD51" s="81"/>
      <c r="AE51" s="81"/>
      <c r="AF51" s="82"/>
      <c r="AG51" s="82"/>
      <c r="AH51" s="82"/>
      <c r="AI51" s="82"/>
      <c r="AJ51" s="82"/>
      <c r="AK51" s="82"/>
      <c r="AL51" s="82"/>
      <c r="AM51" s="81"/>
    </row>
    <row r="52" spans="1:39" x14ac:dyDescent="0.25">
      <c r="A52" s="24" t="s">
        <v>89</v>
      </c>
      <c r="B52" s="24" t="s">
        <v>15</v>
      </c>
      <c r="C52" s="30" t="str">
        <f>IF(VLOOKUP(A52,'Input - Effective RE Level'!$A$2:$B$52,2,FALSE)=0,"",VLOOKUP(A52,'Input - Effective RE Level'!$A$2:$B$52,2,FALSE))</f>
        <v/>
      </c>
      <c r="D52" s="24" t="s">
        <v>119</v>
      </c>
      <c r="E52" s="30">
        <f t="shared" si="27"/>
        <v>0.2</v>
      </c>
      <c r="F52" s="28">
        <f ca="1">(SUMIF('Input- EIA 2012 Generation Data'!$B$2:$H$52,D52,'Input- EIA 2012 Generation Data'!$H$2:$H$52)*AVERAGEIF($D$16:$D$66,D52,$E$16:$E$66))</f>
        <v>150952893.01199996</v>
      </c>
      <c r="G52" s="28">
        <f ca="1">SUMIF('Input- EIA 2012 Generation Data'!$B$2:$G$52,'Calc Method Using % 2012 Gen'!D52,'Input- EIA 2012 Generation Data'!$D$2:$D$52)</f>
        <v>53227248.009999998</v>
      </c>
      <c r="H52" s="66">
        <f t="shared" ca="1" si="25"/>
        <v>8.3486858853496049E-2</v>
      </c>
      <c r="I52" s="66">
        <f>VLOOKUP(B52,'Input- EIA 2012 Generation Data'!$A$2:$G$52,4,FALSE)/VLOOKUP(B52,'Input- EIA 2012 Generation Data'!$A$2:$H$52,8,FALSE)</f>
        <v>0.10938507391081032</v>
      </c>
      <c r="J52" s="77">
        <f t="shared" ca="1" si="21"/>
        <v>0.11851729013708137</v>
      </c>
      <c r="K52" s="77">
        <f t="shared" ref="K52:V52" ca="1" si="51">MIN(J52*(1+$H52),$E52)</f>
        <v>0.12841192641045474</v>
      </c>
      <c r="L52" s="77">
        <f t="shared" ca="1" si="51"/>
        <v>0.13913263478578988</v>
      </c>
      <c r="M52" s="77">
        <f t="shared" ca="1" si="51"/>
        <v>0.15074838142806612</v>
      </c>
      <c r="N52" s="77">
        <f t="shared" ca="1" si="51"/>
        <v>0.16333389027074408</v>
      </c>
      <c r="O52" s="77">
        <f t="shared" ca="1" si="51"/>
        <v>0.17697012371377011</v>
      </c>
      <c r="P52" s="77">
        <f t="shared" ca="1" si="51"/>
        <v>0.19174480345354736</v>
      </c>
      <c r="Q52" s="77">
        <f t="shared" ca="1" si="51"/>
        <v>0.2</v>
      </c>
      <c r="R52" s="77">
        <f t="shared" ca="1" si="51"/>
        <v>0.2</v>
      </c>
      <c r="S52" s="77">
        <f t="shared" ca="1" si="51"/>
        <v>0.2</v>
      </c>
      <c r="T52" s="77">
        <f t="shared" ca="1" si="51"/>
        <v>0.2</v>
      </c>
      <c r="U52" s="77">
        <f t="shared" ca="1" si="51"/>
        <v>0.2</v>
      </c>
      <c r="V52" s="77">
        <f t="shared" ca="1" si="51"/>
        <v>0.2</v>
      </c>
      <c r="W52" s="24" t="s">
        <v>89</v>
      </c>
      <c r="X52" s="66">
        <f t="shared" si="8"/>
        <v>0.10938507391081032</v>
      </c>
      <c r="Y52" s="66">
        <f t="shared" ca="1" si="9"/>
        <v>0.18827971988661274</v>
      </c>
      <c r="Z52" s="66">
        <f t="shared" ca="1" si="10"/>
        <v>0.2</v>
      </c>
      <c r="AA52" s="66">
        <f t="shared" ca="1" si="11"/>
        <v>0.17655943977322552</v>
      </c>
      <c r="AB52" s="66">
        <f t="shared" ca="1" si="12"/>
        <v>0.2</v>
      </c>
      <c r="AC52" s="81"/>
      <c r="AD52" s="81"/>
      <c r="AE52" s="81"/>
      <c r="AF52" s="82"/>
      <c r="AG52" s="82"/>
      <c r="AH52" s="82"/>
      <c r="AI52" s="82"/>
      <c r="AJ52" s="82"/>
      <c r="AK52" s="82"/>
      <c r="AL52" s="82"/>
      <c r="AM52" s="81"/>
    </row>
    <row r="53" spans="1:39" x14ac:dyDescent="0.25">
      <c r="A53" s="24" t="s">
        <v>90</v>
      </c>
      <c r="B53" s="24" t="s">
        <v>14</v>
      </c>
      <c r="C53" s="30">
        <f>IF(VLOOKUP(A53,'Input - Effective RE Level'!$A$2:$B$52,2,FALSE)=0,"",VLOOKUP(A53,'Input - Effective RE Level'!$A$2:$B$52,2,FALSE))</f>
        <v>0.2</v>
      </c>
      <c r="D53" s="24" t="s">
        <v>118</v>
      </c>
      <c r="E53" s="30">
        <f t="shared" si="27"/>
        <v>0.20624999999999999</v>
      </c>
      <c r="F53" s="28">
        <f ca="1">(SUMIF('Input- EIA 2012 Generation Data'!$B$2:$H$52,D53,'Input- EIA 2012 Generation Data'!$H$2:$H$52)*AVERAGEIF($D$16:$D$66,D53,$E$16:$E$66))</f>
        <v>146877467.42893127</v>
      </c>
      <c r="G53" s="28">
        <f ca="1">SUMIF('Input- EIA 2012 Generation Data'!$B$2:$G$52,'Calc Method Using % 2012 Gen'!D53,'Input- EIA 2012 Generation Data'!$D$2:$D$52)</f>
        <v>68065726.450000003</v>
      </c>
      <c r="H53" s="66">
        <f t="shared" ca="1" si="25"/>
        <v>6.094864111130982E-2</v>
      </c>
      <c r="I53" s="66">
        <f>VLOOKUP(B53,'Input- EIA 2012 Generation Data'!$A$2:$G$52,4,FALSE)/VLOOKUP(B53,'Input- EIA 2012 Generation Data'!$A$2:$H$52,8,FALSE)</f>
        <v>0.11828177073009848</v>
      </c>
      <c r="J53" s="77">
        <f t="shared" ca="1" si="21"/>
        <v>0.12549088392433747</v>
      </c>
      <c r="K53" s="77">
        <f t="shared" ref="K53:V53" ca="1" si="52">MIN(J53*(1+$H53),$E53)</f>
        <v>0.13313938277138296</v>
      </c>
      <c r="L53" s="77">
        <f t="shared" ca="1" si="52"/>
        <v>0.14125404722969728</v>
      </c>
      <c r="M53" s="77">
        <f t="shared" ca="1" si="52"/>
        <v>0.14986328945982011</v>
      </c>
      <c r="N53" s="77">
        <f t="shared" ca="1" si="52"/>
        <v>0.15899725330486703</v>
      </c>
      <c r="O53" s="77">
        <f t="shared" ca="1" si="52"/>
        <v>0.16868791983422937</v>
      </c>
      <c r="P53" s="77">
        <f t="shared" ca="1" si="52"/>
        <v>0.17896921932001922</v>
      </c>
      <c r="Q53" s="77">
        <f t="shared" ca="1" si="52"/>
        <v>0.18987715003832636</v>
      </c>
      <c r="R53" s="77">
        <f t="shared" ca="1" si="52"/>
        <v>0.20144990431125065</v>
      </c>
      <c r="S53" s="77">
        <f t="shared" ca="1" si="52"/>
        <v>0.20624999999999999</v>
      </c>
      <c r="T53" s="77">
        <f t="shared" ca="1" si="52"/>
        <v>0.20624999999999999</v>
      </c>
      <c r="U53" s="77">
        <f t="shared" ca="1" si="52"/>
        <v>0.20624999999999999</v>
      </c>
      <c r="V53" s="77">
        <f t="shared" ca="1" si="52"/>
        <v>0.20624999999999999</v>
      </c>
      <c r="W53" s="24" t="s">
        <v>90</v>
      </c>
      <c r="X53" s="66">
        <f t="shared" si="8"/>
        <v>0.11828177073009848</v>
      </c>
      <c r="Y53" s="66">
        <f t="shared" ca="1" si="9"/>
        <v>0.1872844736268513</v>
      </c>
      <c r="Z53" s="66">
        <f t="shared" ca="1" si="10"/>
        <v>0.20624999999999999</v>
      </c>
      <c r="AA53" s="66">
        <f t="shared" ca="1" si="11"/>
        <v>0.1692789663914524</v>
      </c>
      <c r="AB53" s="66">
        <f t="shared" ca="1" si="12"/>
        <v>0.18987715003832636</v>
      </c>
      <c r="AC53" s="81"/>
      <c r="AD53" s="81"/>
      <c r="AE53" s="81"/>
      <c r="AF53" s="82"/>
      <c r="AG53" s="82"/>
      <c r="AH53" s="82"/>
      <c r="AI53" s="82"/>
      <c r="AJ53" s="82"/>
      <c r="AK53" s="82"/>
      <c r="AL53" s="82"/>
      <c r="AM53" s="81"/>
    </row>
    <row r="54" spans="1:39" x14ac:dyDescent="0.25">
      <c r="A54" s="24" t="s">
        <v>91</v>
      </c>
      <c r="B54" s="24" t="s">
        <v>13</v>
      </c>
      <c r="C54" s="30">
        <f>IF(VLOOKUP(A54,'Input - Effective RE Level'!$A$2:$B$52,2,FALSE)=0,"",VLOOKUP(A54,'Input - Effective RE Level'!$A$2:$B$52,2,FALSE))</f>
        <v>7.5200000000000017E-2</v>
      </c>
      <c r="D54" s="24" t="s">
        <v>121</v>
      </c>
      <c r="E54" s="30">
        <f t="shared" si="27"/>
        <v>0.15821500000000002</v>
      </c>
      <c r="F54" s="28">
        <f ca="1">(SUMIF('Input- EIA 2012 Generation Data'!$B$2:$H$52,D54,'Input- EIA 2012 Generation Data'!$H$2:$H$52)*AVERAGEIF($D$16:$D$66,D54,$E$16:$E$66))</f>
        <v>96368237.239952162</v>
      </c>
      <c r="G54" s="28">
        <f ca="1">SUMIF('Input- EIA 2012 Generation Data'!$B$2:$G$52,'Calc Method Using % 2012 Gen'!D54,'Input- EIA 2012 Generation Data'!$D$2:$D$52)</f>
        <v>12162663.629999999</v>
      </c>
      <c r="H54" s="66">
        <f t="shared" ca="1" si="25"/>
        <v>0.17259099671408151</v>
      </c>
      <c r="I54" s="66">
        <f>VLOOKUP(B54,'Input- EIA 2012 Generation Data'!$A$2:$G$52,4,FALSE)/VLOOKUP(B54,'Input- EIA 2012 Generation Data'!$A$2:$H$52,8,FALSE)</f>
        <v>1.9958478598989932E-2</v>
      </c>
      <c r="J54" s="77">
        <f t="shared" ca="1" si="21"/>
        <v>2.3403132313286269E-2</v>
      </c>
      <c r="K54" s="77">
        <f t="shared" ref="K54:V54" ca="1" si="53">MIN(J54*(1+$H54),$E54)</f>
        <v>2.7442302245467873E-2</v>
      </c>
      <c r="L54" s="77">
        <f t="shared" ca="1" si="53"/>
        <v>3.2178596542142252E-2</v>
      </c>
      <c r="M54" s="77">
        <f t="shared" ca="1" si="53"/>
        <v>3.7732332592210878E-2</v>
      </c>
      <c r="N54" s="77">
        <f t="shared" ca="1" si="53"/>
        <v>4.4244593482647775E-2</v>
      </c>
      <c r="O54" s="77">
        <f t="shared" ca="1" si="53"/>
        <v>5.1880811971027306E-2</v>
      </c>
      <c r="P54" s="77">
        <f t="shared" ca="1" si="53"/>
        <v>6.083497301944276E-2</v>
      </c>
      <c r="Q54" s="77">
        <f t="shared" ca="1" si="53"/>
        <v>7.1334541647942645E-2</v>
      </c>
      <c r="R54" s="77">
        <f t="shared" ca="1" si="53"/>
        <v>8.3646241291103221E-2</v>
      </c>
      <c r="S54" s="77">
        <f t="shared" ca="1" si="53"/>
        <v>9.8082829446921288E-2</v>
      </c>
      <c r="T54" s="77">
        <f t="shared" ca="1" si="53"/>
        <v>0.11501104274170269</v>
      </c>
      <c r="U54" s="77">
        <f t="shared" ca="1" si="53"/>
        <v>0.134860913241619</v>
      </c>
      <c r="V54" s="77">
        <f t="shared" ca="1" si="53"/>
        <v>0.1581366926757613</v>
      </c>
      <c r="W54" s="24" t="s">
        <v>91</v>
      </c>
      <c r="X54" s="66">
        <f t="shared" si="8"/>
        <v>1.9958478598989932E-2</v>
      </c>
      <c r="Y54" s="66">
        <f t="shared" ca="1" si="9"/>
        <v>8.5576497211037883E-2</v>
      </c>
      <c r="Z54" s="66">
        <f t="shared" ca="1" si="10"/>
        <v>0.1581366926757613</v>
      </c>
      <c r="AA54" s="66">
        <f t="shared" ca="1" si="11"/>
        <v>5.3205450542654277E-2</v>
      </c>
      <c r="AB54" s="66">
        <f t="shared" ca="1" si="12"/>
        <v>7.1334541647942645E-2</v>
      </c>
      <c r="AC54" s="81"/>
      <c r="AD54" s="81"/>
      <c r="AE54" s="81"/>
      <c r="AF54" s="82"/>
      <c r="AG54" s="82"/>
      <c r="AH54" s="82"/>
      <c r="AI54" s="82"/>
      <c r="AJ54" s="82"/>
      <c r="AK54" s="82"/>
      <c r="AL54" s="82"/>
      <c r="AM54" s="81"/>
    </row>
    <row r="55" spans="1:39" x14ac:dyDescent="0.25">
      <c r="A55" s="24" t="s">
        <v>92</v>
      </c>
      <c r="B55" s="24" t="s">
        <v>12</v>
      </c>
      <c r="C55" s="30">
        <f>IF(VLOOKUP(A55,'Input - Effective RE Level'!$A$2:$B$52,2,FALSE)=0,"",VLOOKUP(A55,'Input - Effective RE Level'!$A$2:$B$52,2,FALSE))</f>
        <v>0.16</v>
      </c>
      <c r="D55" s="24" t="s">
        <v>120</v>
      </c>
      <c r="E55" s="30">
        <f t="shared" si="27"/>
        <v>0.25031738739456966</v>
      </c>
      <c r="F55" s="28">
        <f ca="1">(SUMIF('Input- EIA 2012 Generation Data'!$B$2:$H$52,D55,'Input- EIA 2012 Generation Data'!$H$2:$H$52)*AVERAGEIF($D$16:$D$66,D55,$E$16:$E$66))</f>
        <v>64245372.586592935</v>
      </c>
      <c r="G55" s="28">
        <f ca="1">SUMIF('Input- EIA 2012 Generation Data'!$B$2:$G$52,'Calc Method Using % 2012 Gen'!D55,'Input- EIA 2012 Generation Data'!$D$2:$D$52)</f>
        <v>13749515.33</v>
      </c>
      <c r="H55" s="66">
        <f t="shared" ca="1" si="25"/>
        <v>0.12591132996001231</v>
      </c>
      <c r="I55" s="66">
        <f>VLOOKUP(B55,'Input- EIA 2012 Generation Data'!$A$2:$G$52,4,FALSE)/VLOOKUP(B55,'Input- EIA 2012 Generation Data'!$A$2:$H$52,8,FALSE)</f>
        <v>1.2263155687944602E-2</v>
      </c>
      <c r="J55" s="77">
        <f t="shared" ca="1" si="21"/>
        <v>1.3807225930120397E-2</v>
      </c>
      <c r="K55" s="77">
        <f t="shared" ref="K55:V55" ca="1" si="54">MIN(J55*(1+$H55),$E55)</f>
        <v>1.5545712110040223E-2</v>
      </c>
      <c r="L55" s="77">
        <f t="shared" ca="1" si="54"/>
        <v>1.7503093396990858E-2</v>
      </c>
      <c r="M55" s="77">
        <f t="shared" ca="1" si="54"/>
        <v>1.9706931165020286E-2</v>
      </c>
      <c r="N55" s="77">
        <f t="shared" ca="1" si="54"/>
        <v>2.2188257077438406E-2</v>
      </c>
      <c r="O55" s="77">
        <f t="shared" ca="1" si="54"/>
        <v>2.498201003555333E-2</v>
      </c>
      <c r="P55" s="77">
        <f t="shared" ca="1" si="54"/>
        <v>2.8127528144204224E-2</v>
      </c>
      <c r="Q55" s="77">
        <f t="shared" ca="1" si="54"/>
        <v>3.1669102621328653E-2</v>
      </c>
      <c r="R55" s="77">
        <f t="shared" ca="1" si="54"/>
        <v>3.5656601451020259E-2</v>
      </c>
      <c r="S55" s="77">
        <f t="shared" ca="1" si="54"/>
        <v>4.0146171561572325E-2</v>
      </c>
      <c r="T55" s="77">
        <f t="shared" ca="1" si="54"/>
        <v>4.520102941569272E-2</v>
      </c>
      <c r="U55" s="77">
        <f t="shared" ca="1" si="54"/>
        <v>5.0892351144984228E-2</v>
      </c>
      <c r="V55" s="77">
        <f t="shared" ca="1" si="54"/>
        <v>5.730027476244115E-2</v>
      </c>
      <c r="W55" s="24" t="s">
        <v>92</v>
      </c>
      <c r="X55" s="66">
        <f t="shared" si="8"/>
        <v>1.2263155687944602E-2</v>
      </c>
      <c r="Y55" s="66">
        <f t="shared" ca="1" si="9"/>
        <v>3.5587025737925562E-2</v>
      </c>
      <c r="Z55" s="66">
        <f t="shared" ca="1" si="10"/>
        <v>5.730027476244115E-2</v>
      </c>
      <c r="AA55" s="66">
        <f t="shared" ca="1" si="11"/>
        <v>2.533476580870898E-2</v>
      </c>
      <c r="AB55" s="66">
        <f t="shared" ca="1" si="12"/>
        <v>3.1669102621328653E-2</v>
      </c>
      <c r="AC55" s="81"/>
      <c r="AD55" s="81"/>
      <c r="AE55" s="81"/>
      <c r="AF55" s="82"/>
      <c r="AG55" s="82"/>
      <c r="AH55" s="82"/>
      <c r="AI55" s="82"/>
      <c r="AJ55" s="82"/>
      <c r="AK55" s="82"/>
      <c r="AL55" s="82"/>
      <c r="AM55" s="81"/>
    </row>
    <row r="56" spans="1:39" x14ac:dyDescent="0.25">
      <c r="A56" s="24" t="s">
        <v>93</v>
      </c>
      <c r="B56" s="24" t="s">
        <v>11</v>
      </c>
      <c r="C56" s="30" t="str">
        <f>IF(VLOOKUP(A56,'Input - Effective RE Level'!$A$2:$B$52,2,FALSE)=0,"",VLOOKUP(A56,'Input - Effective RE Level'!$A$2:$B$52,2,FALSE))</f>
        <v/>
      </c>
      <c r="D56" s="24" t="s">
        <v>117</v>
      </c>
      <c r="E56" s="30">
        <f t="shared" si="27"/>
        <v>0.1</v>
      </c>
      <c r="F56" s="28">
        <f ca="1">(SUMIF('Input- EIA 2012 Generation Data'!$B$2:$H$52,D56,'Input- EIA 2012 Generation Data'!$H$2:$H$52)*AVERAGEIF($D$16:$D$66,D56,$E$16:$E$66))</f>
        <v>93197688.003999993</v>
      </c>
      <c r="G56" s="28">
        <f ca="1">SUMIF('Input- EIA 2012 Generation Data'!$B$2:$G$52,'Calc Method Using % 2012 Gen'!D56,'Input- EIA 2012 Generation Data'!$D$2:$D$52)</f>
        <v>18104807.379999999</v>
      </c>
      <c r="H56" s="66">
        <f t="shared" ca="1" si="25"/>
        <v>0.13432975769258282</v>
      </c>
      <c r="I56" s="66">
        <f>VLOOKUP(B56,'Input- EIA 2012 Generation Data'!$A$2:$G$52,4,FALSE)/VLOOKUP(B56,'Input- EIA 2012 Generation Data'!$A$2:$H$52,8,FALSE)</f>
        <v>2.2153454746548267E-2</v>
      </c>
      <c r="J56" s="77">
        <f t="shared" ca="1" si="21"/>
        <v>2.5129322954705696E-2</v>
      </c>
      <c r="K56" s="77">
        <f t="shared" ref="K56:V56" ca="1" si="55">MIN(J56*(1+$H56),$E56)</f>
        <v>2.8504938818189971E-2</v>
      </c>
      <c r="L56" s="77">
        <f t="shared" ca="1" si="55"/>
        <v>3.2334000342679331E-2</v>
      </c>
      <c r="M56" s="77">
        <f t="shared" ca="1" si="55"/>
        <v>3.6677418773943336E-2</v>
      </c>
      <c r="N56" s="77">
        <f t="shared" ca="1" si="55"/>
        <v>4.1604287550636533E-2</v>
      </c>
      <c r="O56" s="77">
        <f t="shared" ca="1" si="55"/>
        <v>4.7192981416286077E-2</v>
      </c>
      <c r="P56" s="77">
        <f t="shared" ca="1" si="55"/>
        <v>5.3532403174726351E-2</v>
      </c>
      <c r="Q56" s="77">
        <f t="shared" ca="1" si="55"/>
        <v>6.0723397921888994E-2</v>
      </c>
      <c r="R56" s="77">
        <f t="shared" ca="1" si="55"/>
        <v>6.8880357251006635E-2</v>
      </c>
      <c r="S56" s="77">
        <f t="shared" ca="1" si="55"/>
        <v>7.81330389503129E-2</v>
      </c>
      <c r="T56" s="77">
        <f t="shared" ca="1" si="55"/>
        <v>8.8628631140293568E-2</v>
      </c>
      <c r="U56" s="77">
        <f t="shared" ca="1" si="55"/>
        <v>0.1</v>
      </c>
      <c r="V56" s="77">
        <f t="shared" ca="1" si="55"/>
        <v>0.1</v>
      </c>
      <c r="W56" s="24" t="s">
        <v>93</v>
      </c>
      <c r="X56" s="66">
        <f t="shared" si="8"/>
        <v>2.2153454746548267E-2</v>
      </c>
      <c r="Y56" s="66">
        <f t="shared" ca="1" si="9"/>
        <v>6.7537251617909438E-2</v>
      </c>
      <c r="Z56" s="66">
        <f t="shared" ca="1" si="10"/>
        <v>0.1</v>
      </c>
      <c r="AA56" s="66">
        <f t="shared" ca="1" si="11"/>
        <v>4.7946097767496261E-2</v>
      </c>
      <c r="AB56" s="66">
        <f t="shared" ca="1" si="12"/>
        <v>6.0723397921888994E-2</v>
      </c>
      <c r="AC56" s="81"/>
      <c r="AD56" s="81"/>
      <c r="AE56" s="81"/>
      <c r="AF56" s="82"/>
      <c r="AG56" s="82"/>
      <c r="AH56" s="82"/>
      <c r="AI56" s="82"/>
      <c r="AJ56" s="82"/>
      <c r="AK56" s="82"/>
      <c r="AL56" s="82"/>
      <c r="AM56" s="81"/>
    </row>
    <row r="57" spans="1:39" x14ac:dyDescent="0.25">
      <c r="A57" s="24" t="s">
        <v>94</v>
      </c>
      <c r="B57" s="24" t="s">
        <v>10</v>
      </c>
      <c r="C57" s="30" t="str">
        <f>IF(VLOOKUP(A57,'Input - Effective RE Level'!$A$2:$B$52,2,FALSE)=0,"",VLOOKUP(A57,'Input - Effective RE Level'!$A$2:$B$52,2,FALSE))</f>
        <v/>
      </c>
      <c r="D57" s="24" t="s">
        <v>122</v>
      </c>
      <c r="E57" s="30">
        <f t="shared" si="27"/>
        <v>0.15114</v>
      </c>
      <c r="F57" s="28">
        <f ca="1">(SUMIF('Input- EIA 2012 Generation Data'!$B$2:$H$52,D57,'Input- EIA 2012 Generation Data'!$H$2:$H$52)*AVERAGEIF($D$16:$D$66,D57,$E$16:$E$66))</f>
        <v>110786042.14611122</v>
      </c>
      <c r="G57" s="28">
        <f ca="1">SUMIF('Input- EIA 2012 Generation Data'!$B$2:$G$52,'Calc Method Using % 2012 Gen'!D57,'Input- EIA 2012 Generation Data'!$D$2:$D$52)</f>
        <v>52058235.869999997</v>
      </c>
      <c r="H57" s="66">
        <f t="shared" ca="1" si="25"/>
        <v>5.9815900091390484E-2</v>
      </c>
      <c r="I57" s="66">
        <f>VLOOKUP(B57,'Input- EIA 2012 Generation Data'!$A$2:$G$52,4,FALSE)/VLOOKUP(B57,'Input- EIA 2012 Generation Data'!$A$2:$H$52,8,FALSE)</f>
        <v>0.2421984466611258</v>
      </c>
      <c r="J57" s="77">
        <f t="shared" ca="1" si="21"/>
        <v>0.15114</v>
      </c>
      <c r="K57" s="77">
        <f t="shared" ref="K57:V57" ca="1" si="56">MIN(J57*(1+$H57),$E57)</f>
        <v>0.15114</v>
      </c>
      <c r="L57" s="77">
        <f t="shared" ca="1" si="56"/>
        <v>0.15114</v>
      </c>
      <c r="M57" s="77">
        <f t="shared" ca="1" si="56"/>
        <v>0.15114</v>
      </c>
      <c r="N57" s="77">
        <f t="shared" ca="1" si="56"/>
        <v>0.15114</v>
      </c>
      <c r="O57" s="77">
        <f t="shared" ca="1" si="56"/>
        <v>0.15114</v>
      </c>
      <c r="P57" s="77">
        <f t="shared" ca="1" si="56"/>
        <v>0.15114</v>
      </c>
      <c r="Q57" s="77">
        <f t="shared" ca="1" si="56"/>
        <v>0.15114</v>
      </c>
      <c r="R57" s="77">
        <f t="shared" ca="1" si="56"/>
        <v>0.15114</v>
      </c>
      <c r="S57" s="77">
        <f t="shared" ca="1" si="56"/>
        <v>0.15114</v>
      </c>
      <c r="T57" s="77">
        <f t="shared" ca="1" si="56"/>
        <v>0.15114</v>
      </c>
      <c r="U57" s="77">
        <f t="shared" ca="1" si="56"/>
        <v>0.15114</v>
      </c>
      <c r="V57" s="77">
        <f t="shared" ca="1" si="56"/>
        <v>0.15114</v>
      </c>
      <c r="W57" s="24" t="s">
        <v>94</v>
      </c>
      <c r="X57" s="66">
        <f t="shared" si="8"/>
        <v>0.2421984466611258</v>
      </c>
      <c r="Y57" s="66">
        <f t="shared" ca="1" si="9"/>
        <v>0.15114000000000002</v>
      </c>
      <c r="Z57" s="66">
        <f t="shared" ca="1" si="10"/>
        <v>0.15114</v>
      </c>
      <c r="AA57" s="66">
        <f t="shared" ca="1" si="11"/>
        <v>0.15114</v>
      </c>
      <c r="AB57" s="66">
        <f t="shared" ca="1" si="12"/>
        <v>0.15114</v>
      </c>
      <c r="AC57" s="81"/>
      <c r="AD57" s="81"/>
      <c r="AE57" s="81"/>
      <c r="AF57" s="82"/>
      <c r="AG57" s="82"/>
      <c r="AH57" s="82"/>
      <c r="AI57" s="82"/>
      <c r="AJ57" s="82"/>
      <c r="AK57" s="82"/>
      <c r="AL57" s="82"/>
      <c r="AM57" s="81"/>
    </row>
    <row r="58" spans="1:39" x14ac:dyDescent="0.25">
      <c r="A58" s="24" t="s">
        <v>95</v>
      </c>
      <c r="B58" s="24" t="s">
        <v>9</v>
      </c>
      <c r="C58" s="30" t="str">
        <f>IF(VLOOKUP(A58,'Input - Effective RE Level'!$A$2:$B$52,2,FALSE)=0,"",VLOOKUP(A58,'Input - Effective RE Level'!$A$2:$B$52,2,FALSE))</f>
        <v/>
      </c>
      <c r="D58" s="24" t="s">
        <v>117</v>
      </c>
      <c r="E58" s="30">
        <f t="shared" si="27"/>
        <v>0.1</v>
      </c>
      <c r="F58" s="28">
        <f ca="1">(SUMIF('Input- EIA 2012 Generation Data'!$B$2:$H$52,D58,'Input- EIA 2012 Generation Data'!$H$2:$H$52)*AVERAGEIF($D$16:$D$66,D58,$E$16:$E$66))</f>
        <v>93197688.003999993</v>
      </c>
      <c r="G58" s="28">
        <f ca="1">SUMIF('Input- EIA 2012 Generation Data'!$B$2:$G$52,'Calc Method Using % 2012 Gen'!D58,'Input- EIA 2012 Generation Data'!$D$2:$D$52)</f>
        <v>18104807.379999999</v>
      </c>
      <c r="H58" s="66">
        <f t="shared" ca="1" si="25"/>
        <v>0.13432975769258282</v>
      </c>
      <c r="I58" s="66">
        <f>VLOOKUP(B58,'Input- EIA 2012 Generation Data'!$A$2:$G$52,4,FALSE)/VLOOKUP(B58,'Input- EIA 2012 Generation Data'!$A$2:$H$52,8,FALSE)</f>
        <v>1.0761862629569222E-2</v>
      </c>
      <c r="J58" s="77">
        <f t="shared" ca="1" si="21"/>
        <v>1.2207501028920117E-2</v>
      </c>
      <c r="K58" s="77">
        <f t="shared" ref="K58:V58" ca="1" si="57">MIN(J58*(1+$H58),$E58)</f>
        <v>1.3847331684166912E-2</v>
      </c>
      <c r="L58" s="77">
        <f t="shared" ca="1" si="57"/>
        <v>1.5707440393989879E-2</v>
      </c>
      <c r="M58" s="77">
        <f t="shared" ca="1" si="57"/>
        <v>1.7817417056085225E-2</v>
      </c>
      <c r="N58" s="77">
        <f t="shared" ca="1" si="57"/>
        <v>2.0210826371936847E-2</v>
      </c>
      <c r="O58" s="77">
        <f t="shared" ca="1" si="57"/>
        <v>2.2925741781245988E-2</v>
      </c>
      <c r="P58" s="77">
        <f t="shared" ca="1" si="57"/>
        <v>2.6005351119643482E-2</v>
      </c>
      <c r="Q58" s="77">
        <f t="shared" ca="1" si="57"/>
        <v>2.9498643634255729E-2</v>
      </c>
      <c r="R58" s="77">
        <f t="shared" ca="1" si="57"/>
        <v>3.3461189285905149E-2</v>
      </c>
      <c r="S58" s="77">
        <f t="shared" ca="1" si="57"/>
        <v>3.7956022734786439E-2</v>
      </c>
      <c r="T58" s="77">
        <f t="shared" ca="1" si="57"/>
        <v>4.3054646071724469E-2</v>
      </c>
      <c r="U58" s="77">
        <f t="shared" ca="1" si="57"/>
        <v>4.8838166246079132E-2</v>
      </c>
      <c r="V58" s="77">
        <f t="shared" ca="1" si="57"/>
        <v>5.5398585284065022E-2</v>
      </c>
      <c r="W58" s="24" t="s">
        <v>95</v>
      </c>
      <c r="X58" s="66">
        <f t="shared" si="8"/>
        <v>1.0761862629569222E-2</v>
      </c>
      <c r="Y58" s="66">
        <f t="shared" ca="1" si="9"/>
        <v>3.3516658958572754E-2</v>
      </c>
      <c r="Z58" s="66">
        <f t="shared" ca="1" si="10"/>
        <v>5.5398585284065022E-2</v>
      </c>
      <c r="AA58" s="66">
        <f t="shared" ca="1" si="11"/>
        <v>2.3291595992633456E-2</v>
      </c>
      <c r="AB58" s="66">
        <f t="shared" ca="1" si="12"/>
        <v>2.9498643634255729E-2</v>
      </c>
      <c r="AC58" s="81"/>
      <c r="AD58" s="81"/>
      <c r="AE58" s="81"/>
      <c r="AF58" s="82"/>
      <c r="AG58" s="82"/>
      <c r="AH58" s="82"/>
      <c r="AI58" s="82"/>
      <c r="AJ58" s="82"/>
      <c r="AK58" s="82"/>
      <c r="AL58" s="82"/>
      <c r="AM58" s="81"/>
    </row>
    <row r="59" spans="1:39" x14ac:dyDescent="0.25">
      <c r="A59" s="24" t="s">
        <v>96</v>
      </c>
      <c r="B59" s="24" t="s">
        <v>8</v>
      </c>
      <c r="C59" s="30" t="str">
        <f>IF(VLOOKUP(A59,'Input - Effective RE Level'!$A$2:$B$52,2,FALSE)=0,"",VLOOKUP(A59,'Input - Effective RE Level'!$A$2:$B$52,2,FALSE))</f>
        <v/>
      </c>
      <c r="D59" s="24" t="s">
        <v>119</v>
      </c>
      <c r="E59" s="30">
        <f t="shared" si="27"/>
        <v>0.2</v>
      </c>
      <c r="F59" s="28">
        <f ca="1">(SUMIF('Input- EIA 2012 Generation Data'!$B$2:$H$52,D59,'Input- EIA 2012 Generation Data'!$H$2:$H$52)*AVERAGEIF($D$16:$D$66,D59,$E$16:$E$66))</f>
        <v>150952893.01199996</v>
      </c>
      <c r="G59" s="28">
        <f ca="1">SUMIF('Input- EIA 2012 Generation Data'!$B$2:$G$52,'Calc Method Using % 2012 Gen'!D59,'Input- EIA 2012 Generation Data'!$D$2:$D$52)</f>
        <v>53227248.009999998</v>
      </c>
      <c r="H59" s="66">
        <f t="shared" ca="1" si="25"/>
        <v>8.3486858853496049E-2</v>
      </c>
      <c r="I59" s="66">
        <f>VLOOKUP(B59,'Input- EIA 2012 Generation Data'!$A$2:$G$52,4,FALSE)/VLOOKUP(B59,'Input- EIA 2012 Generation Data'!$A$2:$H$52,8,FALSE)</f>
        <v>7.9143104854300442E-2</v>
      </c>
      <c r="J59" s="77">
        <f t="shared" ca="1" si="21"/>
        <v>8.575051407849886E-2</v>
      </c>
      <c r="K59" s="77">
        <f t="shared" ref="K59:V59" ca="1" si="58">MIN(J59*(1+$H59),$E59)</f>
        <v>9.2909555143985217E-2</v>
      </c>
      <c r="L59" s="77">
        <f t="shared" ca="1" si="58"/>
        <v>0.10066628206043222</v>
      </c>
      <c r="M59" s="77">
        <f t="shared" ca="1" si="58"/>
        <v>0.10907059374211775</v>
      </c>
      <c r="N59" s="77">
        <f t="shared" ca="1" si="58"/>
        <v>0.11817655500693294</v>
      </c>
      <c r="O59" s="77">
        <f t="shared" ca="1" si="58"/>
        <v>0.12804274437458918</v>
      </c>
      <c r="P59" s="77">
        <f t="shared" ca="1" si="58"/>
        <v>0.13873263090140478</v>
      </c>
      <c r="Q59" s="77">
        <f t="shared" ca="1" si="58"/>
        <v>0.15031498247584452</v>
      </c>
      <c r="R59" s="77">
        <f t="shared" ca="1" si="58"/>
        <v>0.16286430820137107</v>
      </c>
      <c r="S59" s="77">
        <f t="shared" ca="1" si="58"/>
        <v>0.17646133771245121</v>
      </c>
      <c r="T59" s="77">
        <f t="shared" ca="1" si="58"/>
        <v>0.19119354050714971</v>
      </c>
      <c r="U59" s="77">
        <f t="shared" ca="1" si="58"/>
        <v>0.2</v>
      </c>
      <c r="V59" s="77">
        <f t="shared" ca="1" si="58"/>
        <v>0.2</v>
      </c>
      <c r="W59" s="24" t="s">
        <v>96</v>
      </c>
      <c r="X59" s="66">
        <f t="shared" si="8"/>
        <v>7.9143104854300442E-2</v>
      </c>
      <c r="Y59" s="66">
        <f t="shared" ca="1" si="9"/>
        <v>0.1574856692921861</v>
      </c>
      <c r="Z59" s="66">
        <f t="shared" ca="1" si="10"/>
        <v>0.2</v>
      </c>
      <c r="AA59" s="66">
        <f t="shared" ca="1" si="11"/>
        <v>0.12886750130017782</v>
      </c>
      <c r="AB59" s="66">
        <f t="shared" ca="1" si="12"/>
        <v>0.15031498247584452</v>
      </c>
      <c r="AC59" s="81"/>
      <c r="AD59" s="81"/>
      <c r="AE59" s="81"/>
      <c r="AF59" s="82"/>
      <c r="AG59" s="82"/>
      <c r="AH59" s="82"/>
      <c r="AI59" s="82"/>
      <c r="AJ59" s="82"/>
      <c r="AK59" s="82"/>
      <c r="AL59" s="82"/>
      <c r="AM59" s="81"/>
    </row>
    <row r="60" spans="1:39" x14ac:dyDescent="0.25">
      <c r="A60" s="24" t="s">
        <v>97</v>
      </c>
      <c r="B60" s="24" t="s">
        <v>7</v>
      </c>
      <c r="C60" s="30" t="str">
        <f>IF(VLOOKUP(A60,'Input - Effective RE Level'!$A$2:$B$52,2,FALSE)=0,"",VLOOKUP(A60,'Input - Effective RE Level'!$A$2:$B$52,2,FALSE))</f>
        <v/>
      </c>
      <c r="D60" s="24" t="s">
        <v>118</v>
      </c>
      <c r="E60" s="30">
        <f t="shared" si="27"/>
        <v>0.20624999999999999</v>
      </c>
      <c r="F60" s="28">
        <f ca="1">(SUMIF('Input- EIA 2012 Generation Data'!$B$2:$H$52,D60,'Input- EIA 2012 Generation Data'!$H$2:$H$52)*AVERAGEIF($D$16:$D$66,D60,$E$16:$E$66))</f>
        <v>146877467.42893127</v>
      </c>
      <c r="G60" s="28">
        <f ca="1">SUMIF('Input- EIA 2012 Generation Data'!$B$2:$G$52,'Calc Method Using % 2012 Gen'!D60,'Input- EIA 2012 Generation Data'!$D$2:$D$52)</f>
        <v>68065726.450000003</v>
      </c>
      <c r="H60" s="66">
        <f t="shared" ca="1" si="25"/>
        <v>6.094864111130982E-2</v>
      </c>
      <c r="I60" s="66">
        <f>VLOOKUP(B60,'Input- EIA 2012 Generation Data'!$A$2:$G$52,4,FALSE)/VLOOKUP(B60,'Input- EIA 2012 Generation Data'!$A$2:$H$52,8,FALSE)</f>
        <v>3.0284973528610211E-2</v>
      </c>
      <c r="J60" s="77">
        <f t="shared" ca="1" si="21"/>
        <v>3.2130801511270991E-2</v>
      </c>
      <c r="K60" s="77">
        <f t="shared" ref="K60:V60" ca="1" si="59">MIN(J60*(1+$H60),$E60)</f>
        <v>3.4089130201200177E-2</v>
      </c>
      <c r="L60" s="77">
        <f t="shared" ca="1" si="59"/>
        <v>3.6166816363629839E-2</v>
      </c>
      <c r="M60" s="77">
        <f t="shared" ca="1" si="59"/>
        <v>3.8371134674315362E-2</v>
      </c>
      <c r="N60" s="77">
        <f t="shared" ca="1" si="59"/>
        <v>4.0709803190613944E-2</v>
      </c>
      <c r="O60" s="77">
        <f t="shared" ca="1" si="59"/>
        <v>4.3191010374990728E-2</v>
      </c>
      <c r="P60" s="77">
        <f t="shared" ca="1" si="59"/>
        <v>4.5823443765570897E-2</v>
      </c>
      <c r="Q60" s="77">
        <f t="shared" ca="1" si="59"/>
        <v>4.8616320394122968E-2</v>
      </c>
      <c r="R60" s="77">
        <f t="shared" ca="1" si="59"/>
        <v>5.1579419057976819E-2</v>
      </c>
      <c r="S60" s="77">
        <f t="shared" ca="1" si="59"/>
        <v>5.47231145588713E-2</v>
      </c>
      <c r="T60" s="77">
        <f t="shared" ca="1" si="59"/>
        <v>5.8058414028613038E-2</v>
      </c>
      <c r="U60" s="77">
        <f t="shared" ca="1" si="59"/>
        <v>6.159699546873481E-2</v>
      </c>
      <c r="V60" s="77">
        <f t="shared" ca="1" si="59"/>
        <v>6.5351248639093709E-2</v>
      </c>
      <c r="W60" s="24" t="s">
        <v>97</v>
      </c>
      <c r="X60" s="66">
        <f t="shared" si="8"/>
        <v>3.0284973528610211E-2</v>
      </c>
      <c r="Y60" s="66">
        <f t="shared" ca="1" si="9"/>
        <v>5.0802090415290366E-2</v>
      </c>
      <c r="Z60" s="66">
        <f t="shared" ca="1" si="10"/>
        <v>6.5351248639093709E-2</v>
      </c>
      <c r="AA60" s="66">
        <f t="shared" ca="1" si="11"/>
        <v>4.3342342479922788E-2</v>
      </c>
      <c r="AB60" s="66">
        <f t="shared" ca="1" si="12"/>
        <v>4.8616320394122968E-2</v>
      </c>
      <c r="AC60" s="81"/>
      <c r="AD60" s="81"/>
      <c r="AE60" s="81"/>
      <c r="AF60" s="82"/>
      <c r="AG60" s="82"/>
      <c r="AH60" s="82"/>
      <c r="AI60" s="82"/>
      <c r="AJ60" s="82"/>
      <c r="AK60" s="82"/>
      <c r="AL60" s="82"/>
      <c r="AM60" s="81"/>
    </row>
    <row r="61" spans="1:39" x14ac:dyDescent="0.25">
      <c r="A61" s="24" t="s">
        <v>99</v>
      </c>
      <c r="B61" s="24" t="s">
        <v>5</v>
      </c>
      <c r="C61" s="30" t="str">
        <f>IF(VLOOKUP(A61,'Input - Effective RE Level'!$A$2:$B$52,2,FALSE)=0,"",VLOOKUP(A61,'Input - Effective RE Level'!$A$2:$B$52,2,FALSE))</f>
        <v/>
      </c>
      <c r="D61" s="24" t="s">
        <v>120</v>
      </c>
      <c r="E61" s="30">
        <f t="shared" si="27"/>
        <v>0.25031738739456966</v>
      </c>
      <c r="F61" s="28">
        <f ca="1">(SUMIF('Input- EIA 2012 Generation Data'!$B$2:$H$52,D61,'Input- EIA 2012 Generation Data'!$H$2:$H$52)*AVERAGEIF($D$16:$D$66,D61,$E$16:$E$66))</f>
        <v>64245372.586592935</v>
      </c>
      <c r="G61" s="28">
        <f ca="1">SUMIF('Input- EIA 2012 Generation Data'!$B$2:$G$52,'Calc Method Using % 2012 Gen'!D61,'Input- EIA 2012 Generation Data'!$D$2:$D$52)</f>
        <v>13749515.33</v>
      </c>
      <c r="H61" s="66">
        <f t="shared" ca="1" si="25"/>
        <v>0.12591132996001231</v>
      </c>
      <c r="I61" s="66">
        <f>VLOOKUP(B61,'Input- EIA 2012 Generation Data'!$A$2:$G$52,4,FALSE)/VLOOKUP(B61,'Input- EIA 2012 Generation Data'!$A$2:$H$52,8,FALSE)</f>
        <v>7.0805471539879192E-2</v>
      </c>
      <c r="J61" s="88" t="s">
        <v>139</v>
      </c>
      <c r="K61" s="88" t="s">
        <v>139</v>
      </c>
      <c r="L61" s="88" t="s">
        <v>139</v>
      </c>
      <c r="M61" s="88" t="s">
        <v>139</v>
      </c>
      <c r="N61" s="88" t="s">
        <v>139</v>
      </c>
      <c r="O61" s="88" t="s">
        <v>139</v>
      </c>
      <c r="P61" s="88" t="s">
        <v>139</v>
      </c>
      <c r="Q61" s="88" t="s">
        <v>139</v>
      </c>
      <c r="R61" s="88" t="s">
        <v>139</v>
      </c>
      <c r="S61" s="88" t="s">
        <v>139</v>
      </c>
      <c r="T61" s="88" t="s">
        <v>139</v>
      </c>
      <c r="U61" s="88" t="s">
        <v>139</v>
      </c>
      <c r="V61" s="88" t="s">
        <v>139</v>
      </c>
      <c r="W61" s="24" t="s">
        <v>99</v>
      </c>
      <c r="X61" s="88" t="s">
        <v>139</v>
      </c>
      <c r="Y61" s="88" t="s">
        <v>139</v>
      </c>
      <c r="Z61" s="88" t="s">
        <v>139</v>
      </c>
      <c r="AA61" s="88" t="s">
        <v>139</v>
      </c>
      <c r="AB61" s="88" t="s">
        <v>139</v>
      </c>
      <c r="AC61" s="81"/>
      <c r="AD61" s="81"/>
      <c r="AE61" s="81"/>
      <c r="AF61" s="82"/>
      <c r="AG61" s="82"/>
      <c r="AH61" s="82"/>
      <c r="AI61" s="82"/>
      <c r="AJ61" s="82"/>
      <c r="AK61" s="82"/>
      <c r="AL61" s="82"/>
      <c r="AM61" s="81"/>
    </row>
    <row r="62" spans="1:39" x14ac:dyDescent="0.25">
      <c r="A62" s="24" t="s">
        <v>98</v>
      </c>
      <c r="B62" s="24" t="s">
        <v>6</v>
      </c>
      <c r="C62" s="30" t="str">
        <f>IF(VLOOKUP(A62,'Input - Effective RE Level'!$A$2:$B$52,2,FALSE)=0,"",VLOOKUP(A62,'Input - Effective RE Level'!$A$2:$B$52,2,FALSE))</f>
        <v/>
      </c>
      <c r="D62" s="24" t="s">
        <v>121</v>
      </c>
      <c r="E62" s="30">
        <f t="shared" si="27"/>
        <v>0.15821500000000002</v>
      </c>
      <c r="F62" s="28">
        <f ca="1">(SUMIF('Input- EIA 2012 Generation Data'!$B$2:$H$52,D62,'Input- EIA 2012 Generation Data'!$H$2:$H$52)*AVERAGEIF($D$16:$D$66,D62,$E$16:$E$66))</f>
        <v>96368237.239952162</v>
      </c>
      <c r="G62" s="28">
        <f ca="1">SUMIF('Input- EIA 2012 Generation Data'!$B$2:$G$52,'Calc Method Using % 2012 Gen'!D62,'Input- EIA 2012 Generation Data'!$D$2:$D$52)</f>
        <v>12162663.629999999</v>
      </c>
      <c r="H62" s="66">
        <f t="shared" ca="1" si="25"/>
        <v>0.17259099671408151</v>
      </c>
      <c r="I62" s="66">
        <f>VLOOKUP(B62,'Input- EIA 2012 Generation Data'!$A$2:$G$52,4,FALSE)/VLOOKUP(B62,'Input- EIA 2012 Generation Data'!$A$2:$H$52,8,FALSE)</f>
        <v>3.3339964759307873E-2</v>
      </c>
      <c r="J62" s="77">
        <f ca="1">MIN(I62*(1+$H62),$E62,$C$67)</f>
        <v>3.909414250752917E-2</v>
      </c>
      <c r="K62" s="77">
        <f t="shared" ref="K62:V62" ca="1" si="60">MIN(J62*(1+$H62),$E62)</f>
        <v>4.5841439528585971E-2</v>
      </c>
      <c r="L62" s="77">
        <f t="shared" ca="1" si="60"/>
        <v>5.375325926763292E-2</v>
      </c>
      <c r="M62" s="77">
        <f t="shared" ca="1" si="60"/>
        <v>6.3030587861264128E-2</v>
      </c>
      <c r="N62" s="77">
        <f t="shared" ca="1" si="60"/>
        <v>7.3909099843714188E-2</v>
      </c>
      <c r="O62" s="77">
        <f t="shared" ca="1" si="60"/>
        <v>8.666514505198139E-2</v>
      </c>
      <c r="P62" s="77">
        <f t="shared" ca="1" si="60"/>
        <v>0.10162276881687331</v>
      </c>
      <c r="Q62" s="77">
        <f t="shared" ca="1" si="60"/>
        <v>0.11916194377582215</v>
      </c>
      <c r="R62" s="77">
        <f t="shared" ca="1" si="60"/>
        <v>0.13972822242247865</v>
      </c>
      <c r="S62" s="77">
        <f t="shared" ca="1" si="60"/>
        <v>0.15821500000000002</v>
      </c>
      <c r="T62" s="77">
        <f t="shared" ca="1" si="60"/>
        <v>0.15821500000000002</v>
      </c>
      <c r="U62" s="77">
        <f t="shared" ca="1" si="60"/>
        <v>0.15821500000000002</v>
      </c>
      <c r="V62" s="77">
        <f t="shared" ca="1" si="60"/>
        <v>0.15821500000000002</v>
      </c>
      <c r="W62" s="24" t="s">
        <v>98</v>
      </c>
      <c r="X62" s="66">
        <f t="shared" si="8"/>
        <v>3.3339964759307873E-2</v>
      </c>
      <c r="Y62" s="66">
        <f t="shared" ca="1" si="9"/>
        <v>0.12169777677721338</v>
      </c>
      <c r="Z62" s="66">
        <f t="shared" ca="1" si="10"/>
        <v>0.15821500000000002</v>
      </c>
      <c r="AA62" s="66">
        <f t="shared" ca="1" si="11"/>
        <v>8.8877909069931024E-2</v>
      </c>
      <c r="AB62" s="66">
        <f t="shared" ca="1" si="12"/>
        <v>0.11916194377582215</v>
      </c>
      <c r="AC62" s="81"/>
      <c r="AD62" s="81"/>
      <c r="AE62" s="81"/>
      <c r="AF62" s="82"/>
      <c r="AG62" s="82"/>
      <c r="AH62" s="82"/>
      <c r="AI62" s="82"/>
      <c r="AJ62" s="82"/>
      <c r="AK62" s="82"/>
      <c r="AL62" s="82"/>
      <c r="AM62" s="81"/>
    </row>
    <row r="63" spans="1:39" x14ac:dyDescent="0.25">
      <c r="A63" s="24" t="s">
        <v>100</v>
      </c>
      <c r="B63" s="24" t="s">
        <v>4</v>
      </c>
      <c r="C63" s="30">
        <f>IF(VLOOKUP(A63,'Input - Effective RE Level'!$A$2:$B$52,2,FALSE)=0,"",VLOOKUP(A63,'Input - Effective RE Level'!$A$2:$B$52,2,FALSE))</f>
        <v>0.15</v>
      </c>
      <c r="D63" s="24" t="s">
        <v>118</v>
      </c>
      <c r="E63" s="30">
        <f t="shared" si="27"/>
        <v>0.20624999999999999</v>
      </c>
      <c r="F63" s="28">
        <f ca="1">(SUMIF('Input- EIA 2012 Generation Data'!$B$2:$H$52,D63,'Input- EIA 2012 Generation Data'!$H$2:$H$52)*AVERAGEIF($D$16:$D$66,D63,$E$16:$E$66))</f>
        <v>146877467.42893127</v>
      </c>
      <c r="G63" s="28">
        <f ca="1">SUMIF('Input- EIA 2012 Generation Data'!$B$2:$G$52,'Calc Method Using % 2012 Gen'!D63,'Input- EIA 2012 Generation Data'!$D$2:$D$52)</f>
        <v>68065726.450000003</v>
      </c>
      <c r="H63" s="66">
        <f t="shared" ca="1" si="25"/>
        <v>6.094864111130982E-2</v>
      </c>
      <c r="I63" s="66">
        <f>VLOOKUP(B63,'Input- EIA 2012 Generation Data'!$A$2:$G$52,4,FALSE)/VLOOKUP(B63,'Input- EIA 2012 Generation Data'!$A$2:$H$52,8,FALSE)</f>
        <v>7.0306987421774603E-2</v>
      </c>
      <c r="J63" s="77">
        <f ca="1">MIN(I63*(1+$H63),$E63,$C$67)</f>
        <v>7.4592102765761711E-2</v>
      </c>
      <c r="K63" s="77">
        <f t="shared" ref="K63:V63" ca="1" si="61">MIN(J63*(1+$H63),$E63)</f>
        <v>7.9138390066970057E-2</v>
      </c>
      <c r="L63" s="77">
        <f t="shared" ca="1" si="61"/>
        <v>8.3961767401288662E-2</v>
      </c>
      <c r="M63" s="77">
        <f t="shared" ca="1" si="61"/>
        <v>8.9079123029701071E-2</v>
      </c>
      <c r="N63" s="77">
        <f t="shared" ca="1" si="61"/>
        <v>9.4508374529748529E-2</v>
      </c>
      <c r="O63" s="77">
        <f t="shared" ca="1" si="61"/>
        <v>0.10026853153097542</v>
      </c>
      <c r="P63" s="77">
        <f t="shared" ca="1" si="61"/>
        <v>0.1063797622740149</v>
      </c>
      <c r="Q63" s="77">
        <f t="shared" ca="1" si="61"/>
        <v>0.11286346422636029</v>
      </c>
      <c r="R63" s="77">
        <f t="shared" ca="1" si="61"/>
        <v>0.11974233900207187</v>
      </c>
      <c r="S63" s="77">
        <f t="shared" ca="1" si="61"/>
        <v>0.12704047184773795</v>
      </c>
      <c r="T63" s="77">
        <f t="shared" ca="1" si="61"/>
        <v>0.1347834159729972</v>
      </c>
      <c r="U63" s="77">
        <f t="shared" ca="1" si="61"/>
        <v>0.14299828202089179</v>
      </c>
      <c r="V63" s="77">
        <f t="shared" ca="1" si="61"/>
        <v>0.15171383299131699</v>
      </c>
      <c r="W63" s="24" t="s">
        <v>100</v>
      </c>
      <c r="X63" s="66">
        <f t="shared" si="8"/>
        <v>7.0306987421774603E-2</v>
      </c>
      <c r="Y63" s="66">
        <f t="shared" ca="1" si="9"/>
        <v>0.11793775974258161</v>
      </c>
      <c r="Z63" s="66">
        <f t="shared" ca="1" si="10"/>
        <v>0.15171383299131699</v>
      </c>
      <c r="AA63" s="66">
        <f t="shared" ca="1" si="11"/>
        <v>0.10061985111816005</v>
      </c>
      <c r="AB63" s="66">
        <f t="shared" ca="1" si="12"/>
        <v>0.11286346422636029</v>
      </c>
      <c r="AC63" s="81"/>
      <c r="AD63" s="81"/>
      <c r="AE63" s="81"/>
      <c r="AF63" s="82"/>
      <c r="AG63" s="82"/>
      <c r="AH63" s="82"/>
      <c r="AI63" s="82"/>
      <c r="AJ63" s="82"/>
      <c r="AK63" s="82"/>
      <c r="AL63" s="82"/>
      <c r="AM63" s="81"/>
    </row>
    <row r="64" spans="1:39" x14ac:dyDescent="0.25">
      <c r="A64" s="24" t="s">
        <v>102</v>
      </c>
      <c r="B64" s="24" t="s">
        <v>2</v>
      </c>
      <c r="C64" s="30" t="str">
        <f>IF(VLOOKUP(A64,'Input - Effective RE Level'!$A$2:$B$52,2,FALSE)=0,"",VLOOKUP(A64,'Input - Effective RE Level'!$A$2:$B$52,2,FALSE))</f>
        <v/>
      </c>
      <c r="D64" s="24" t="s">
        <v>121</v>
      </c>
      <c r="E64" s="30">
        <f t="shared" si="27"/>
        <v>0.15821500000000002</v>
      </c>
      <c r="F64" s="28">
        <f ca="1">(SUMIF('Input- EIA 2012 Generation Data'!$B$2:$H$52,D64,'Input- EIA 2012 Generation Data'!$H$2:$H$52)*AVERAGEIF($D$16:$D$66,D64,$E$16:$E$66))</f>
        <v>96368237.239952162</v>
      </c>
      <c r="G64" s="28">
        <f ca="1">SUMIF('Input- EIA 2012 Generation Data'!$B$2:$G$52,'Calc Method Using % 2012 Gen'!D64,'Input- EIA 2012 Generation Data'!$D$2:$D$52)</f>
        <v>12162663.629999999</v>
      </c>
      <c r="H64" s="66">
        <f t="shared" ca="1" si="25"/>
        <v>0.17259099671408151</v>
      </c>
      <c r="I64" s="66">
        <f>VLOOKUP(B64,'Input- EIA 2012 Generation Data'!$A$2:$G$52,4,FALSE)/VLOOKUP(B64,'Input- EIA 2012 Generation Data'!$A$2:$H$52,8,FALSE)</f>
        <v>1.7661119999792082E-2</v>
      </c>
      <c r="J64" s="77">
        <f ca="1">MIN(I64*(1+$H64),$E64,$C$67)</f>
        <v>2.0709270303643196E-2</v>
      </c>
      <c r="K64" s="77">
        <f t="shared" ref="K64:V64" ca="1" si="62">MIN(J64*(1+$H64),$E64)</f>
        <v>2.4283503906570303E-2</v>
      </c>
      <c r="L64" s="77">
        <f t="shared" ca="1" si="62"/>
        <v>2.8474618049515562E-2</v>
      </c>
      <c r="M64" s="77">
        <f t="shared" ca="1" si="62"/>
        <v>3.3389080759734228E-2</v>
      </c>
      <c r="N64" s="77">
        <f t="shared" ca="1" si="62"/>
        <v>3.9151735487423719E-2</v>
      </c>
      <c r="O64" s="77">
        <f t="shared" ca="1" si="62"/>
        <v>4.5908972538284257E-2</v>
      </c>
      <c r="P64" s="77">
        <f t="shared" ca="1" si="62"/>
        <v>5.3832447866786134E-2</v>
      </c>
      <c r="Q64" s="77">
        <f t="shared" ca="1" si="62"/>
        <v>6.3123443699673584E-2</v>
      </c>
      <c r="R64" s="77">
        <f t="shared" ca="1" si="62"/>
        <v>7.4017981763825458E-2</v>
      </c>
      <c r="S64" s="77">
        <f t="shared" ca="1" si="62"/>
        <v>8.6792819011208805E-2</v>
      </c>
      <c r="T64" s="77">
        <f t="shared" ca="1" si="62"/>
        <v>0.10177247815197822</v>
      </c>
      <c r="U64" s="77">
        <f t="shared" ca="1" si="62"/>
        <v>0.11933749159429023</v>
      </c>
      <c r="V64" s="77">
        <f t="shared" ca="1" si="62"/>
        <v>0.13993406821390711</v>
      </c>
      <c r="W64" s="24" t="s">
        <v>102</v>
      </c>
      <c r="X64" s="66">
        <f t="shared" si="8"/>
        <v>1.7661119999792082E-2</v>
      </c>
      <c r="Y64" s="66">
        <f t="shared" ca="1" si="9"/>
        <v>7.5726051908711164E-2</v>
      </c>
      <c r="Z64" s="66">
        <f t="shared" ca="1" si="10"/>
        <v>0.13993406821390711</v>
      </c>
      <c r="AA64" s="66">
        <f t="shared" ca="1" si="11"/>
        <v>4.7081136070380378E-2</v>
      </c>
      <c r="AB64" s="66">
        <f t="shared" ca="1" si="12"/>
        <v>6.3123443699673584E-2</v>
      </c>
      <c r="AC64" s="81"/>
      <c r="AD64" s="81"/>
      <c r="AE64" s="81"/>
      <c r="AF64" s="82"/>
      <c r="AG64" s="82"/>
      <c r="AH64" s="82"/>
      <c r="AI64" s="82"/>
      <c r="AJ64" s="82"/>
      <c r="AK64" s="82"/>
      <c r="AL64" s="82"/>
      <c r="AM64" s="81"/>
    </row>
    <row r="65" spans="1:39" x14ac:dyDescent="0.25">
      <c r="A65" s="24" t="s">
        <v>101</v>
      </c>
      <c r="B65" s="24" t="s">
        <v>3</v>
      </c>
      <c r="C65" s="30">
        <f>IF(VLOOKUP(A65,'Input - Effective RE Level'!$A$2:$B$52,2,FALSE)=0,"",VLOOKUP(A65,'Input - Effective RE Level'!$A$2:$B$52,2,FALSE))</f>
        <v>9.5699999999999993E-2</v>
      </c>
      <c r="D65" s="24" t="s">
        <v>122</v>
      </c>
      <c r="E65" s="30">
        <f t="shared" si="27"/>
        <v>0.15114</v>
      </c>
      <c r="F65" s="28">
        <f ca="1">(SUMIF('Input- EIA 2012 Generation Data'!$B$2:$H$52,D65,'Input- EIA 2012 Generation Data'!$H$2:$H$52)*AVERAGEIF($D$16:$D$66,D65,$E$16:$E$66))</f>
        <v>110786042.14611122</v>
      </c>
      <c r="G65" s="28">
        <f ca="1">SUMIF('Input- EIA 2012 Generation Data'!$B$2:$G$52,'Calc Method Using % 2012 Gen'!D65,'Input- EIA 2012 Generation Data'!$D$2:$D$52)</f>
        <v>52058235.869999997</v>
      </c>
      <c r="H65" s="66">
        <f t="shared" ca="1" si="25"/>
        <v>5.9815900091390484E-2</v>
      </c>
      <c r="I65" s="66">
        <f>VLOOKUP(B65,'Input- EIA 2012 Generation Data'!$A$2:$G$52,4,FALSE)/VLOOKUP(B65,'Input- EIA 2012 Generation Data'!$A$2:$H$52,8,FALSE)</f>
        <v>5.0565276923627014E-2</v>
      </c>
      <c r="J65" s="77">
        <f ca="1">MIN(I65*(1+$H65),$E65,$C$67)</f>
        <v>5.358988447618418E-2</v>
      </c>
      <c r="K65" s="77">
        <f t="shared" ref="K65:V65" ca="1" si="63">MIN(J65*(1+$H65),$E65)</f>
        <v>5.6795411651920771E-2</v>
      </c>
      <c r="L65" s="77">
        <f t="shared" ca="1" si="63"/>
        <v>6.0192680320941459E-2</v>
      </c>
      <c r="M65" s="77">
        <f t="shared" ca="1" si="63"/>
        <v>6.3793159673251901E-2</v>
      </c>
      <c r="N65" s="77">
        <f t="shared" ca="1" si="63"/>
        <v>6.7609004938781261E-2</v>
      </c>
      <c r="O65" s="77">
        <f t="shared" ca="1" si="63"/>
        <v>7.1653098423477724E-2</v>
      </c>
      <c r="P65" s="77">
        <f t="shared" ca="1" si="63"/>
        <v>7.5939093000015043E-2</v>
      </c>
      <c r="Q65" s="77">
        <f t="shared" ca="1" si="63"/>
        <v>8.0481458199934755E-2</v>
      </c>
      <c r="R65" s="77">
        <f t="shared" ca="1" si="63"/>
        <v>8.5295529062831471E-2</v>
      </c>
      <c r="S65" s="77">
        <f t="shared" ca="1" si="63"/>
        <v>9.0397557907496096E-2</v>
      </c>
      <c r="T65" s="77">
        <f t="shared" ca="1" si="63"/>
        <v>9.5804769199796566E-2</v>
      </c>
      <c r="U65" s="77">
        <f t="shared" ca="1" si="63"/>
        <v>0.10153541770253033</v>
      </c>
      <c r="V65" s="77">
        <f t="shared" ca="1" si="63"/>
        <v>0.10760885010356248</v>
      </c>
      <c r="W65" s="24" t="s">
        <v>101</v>
      </c>
      <c r="X65" s="66">
        <f t="shared" si="8"/>
        <v>5.0565276923627014E-2</v>
      </c>
      <c r="Y65" s="66">
        <f t="shared" ca="1" si="9"/>
        <v>8.401179382116776E-2</v>
      </c>
      <c r="Z65" s="66">
        <f t="shared" ca="1" si="10"/>
        <v>0.10760885010356248</v>
      </c>
      <c r="AA65" s="66">
        <f t="shared" ca="1" si="11"/>
        <v>7.1895162847092131E-2</v>
      </c>
      <c r="AB65" s="66">
        <f t="shared" ca="1" si="12"/>
        <v>8.0481458199934755E-2</v>
      </c>
      <c r="AC65" s="81"/>
      <c r="AD65" s="81"/>
      <c r="AE65" s="81"/>
      <c r="AF65" s="82"/>
      <c r="AG65" s="82"/>
      <c r="AH65" s="82"/>
      <c r="AI65" s="82"/>
      <c r="AJ65" s="82"/>
      <c r="AK65" s="82"/>
      <c r="AL65" s="82"/>
      <c r="AM65" s="81"/>
    </row>
    <row r="66" spans="1:39" x14ac:dyDescent="0.25">
      <c r="A66" s="24" t="s">
        <v>103</v>
      </c>
      <c r="B66" s="24" t="s">
        <v>1</v>
      </c>
      <c r="C66" s="30" t="str">
        <f>IF(VLOOKUP(A66,'Input - Effective RE Level'!$A$2:$B$52,2,FALSE)=0,"",VLOOKUP(A66,'Input - Effective RE Level'!$A$2:$B$52,2,FALSE))</f>
        <v/>
      </c>
      <c r="D66" s="24" t="s">
        <v>118</v>
      </c>
      <c r="E66" s="30">
        <f t="shared" si="27"/>
        <v>0.20624999999999999</v>
      </c>
      <c r="F66" s="28">
        <f ca="1">(SUMIF('Input- EIA 2012 Generation Data'!$B$2:$H$52,D66,'Input- EIA 2012 Generation Data'!$H$2:$H$52)*AVERAGEIF($D$16:$D$66,D66,$E$16:$E$66))</f>
        <v>146877467.42893127</v>
      </c>
      <c r="G66" s="28">
        <f ca="1">SUMIF('Input- EIA 2012 Generation Data'!$B$2:$G$52,'Calc Method Using % 2012 Gen'!D66,'Input- EIA 2012 Generation Data'!$D$2:$D$52)</f>
        <v>68065726.450000003</v>
      </c>
      <c r="H66" s="66">
        <f t="shared" ca="1" si="25"/>
        <v>6.094864111130982E-2</v>
      </c>
      <c r="I66" s="66">
        <f>VLOOKUP(B66,'Input- EIA 2012 Generation Data'!$A$2:$G$52,4,FALSE)/VLOOKUP(B66,'Input- EIA 2012 Generation Data'!$A$2:$H$52,8,FALSE)</f>
        <v>8.810707404471993E-2</v>
      </c>
      <c r="J66" s="77">
        <f ca="1">MIN(I66*(1+$H66),$E66,$C$67)</f>
        <v>9.3477080480039165E-2</v>
      </c>
      <c r="K66" s="77">
        <f t="shared" ref="K66:V66" ca="1" si="64">MIN(J66*(1+$H66),$E66)</f>
        <v>9.9174381510350101E-2</v>
      </c>
      <c r="L66" s="77">
        <f t="shared" ca="1" si="64"/>
        <v>0.10521892529646056</v>
      </c>
      <c r="M66" s="77">
        <f t="shared" ca="1" si="64"/>
        <v>0.11163187581247225</v>
      </c>
      <c r="N66" s="77">
        <f t="shared" ca="1" si="64"/>
        <v>0.11843568694794893</v>
      </c>
      <c r="O66" s="77">
        <f t="shared" ca="1" si="64"/>
        <v>0.12565418112651092</v>
      </c>
      <c r="P66" s="77">
        <f t="shared" ca="1" si="64"/>
        <v>0.13331263271612614</v>
      </c>
      <c r="Q66" s="77">
        <f t="shared" ca="1" si="64"/>
        <v>0.14143785652314517</v>
      </c>
      <c r="R66" s="77">
        <f t="shared" ca="1" si="64"/>
        <v>0.15005830167992726</v>
      </c>
      <c r="S66" s="77">
        <f t="shared" ca="1" si="64"/>
        <v>0.15920415125478982</v>
      </c>
      <c r="T66" s="77">
        <f t="shared" ca="1" si="64"/>
        <v>0.16890742793304869</v>
      </c>
      <c r="U66" s="77">
        <f t="shared" ca="1" si="64"/>
        <v>0.17920210613917451</v>
      </c>
      <c r="V66" s="77">
        <f t="shared" ca="1" si="64"/>
        <v>0.19012423099264189</v>
      </c>
      <c r="W66" s="24" t="s">
        <v>103</v>
      </c>
      <c r="X66" s="66">
        <f t="shared" si="8"/>
        <v>8.810707404471993E-2</v>
      </c>
      <c r="Y66" s="66">
        <f t="shared" ca="1" si="9"/>
        <v>0.14779684511257854</v>
      </c>
      <c r="Z66" s="66">
        <f t="shared" ca="1" si="10"/>
        <v>0.19012423099264189</v>
      </c>
      <c r="AA66" s="66">
        <f t="shared" ca="1" si="11"/>
        <v>0.12609444662524066</v>
      </c>
      <c r="AB66" s="66">
        <f t="shared" ca="1" si="12"/>
        <v>0.14143785652314517</v>
      </c>
    </row>
    <row r="67" spans="1:39" s="93" customFormat="1" x14ac:dyDescent="0.25">
      <c r="C67" s="107"/>
      <c r="D67" s="108"/>
      <c r="E67" s="107"/>
      <c r="F67" s="109"/>
      <c r="G67" s="109"/>
      <c r="H67" s="107"/>
      <c r="I67" s="107"/>
      <c r="J67" s="107"/>
      <c r="K67" s="107"/>
      <c r="L67" s="107"/>
      <c r="M67" s="107"/>
      <c r="N67" s="107"/>
      <c r="O67" s="107"/>
      <c r="P67" s="107"/>
      <c r="Q67" s="107"/>
      <c r="R67" s="107"/>
      <c r="S67" s="107"/>
      <c r="T67" s="107"/>
      <c r="U67" s="107"/>
      <c r="V67" s="107"/>
      <c r="W67" s="110"/>
      <c r="X67" s="107"/>
      <c r="Y67" s="107"/>
      <c r="Z67" s="107"/>
      <c r="AA67" s="107"/>
      <c r="AB67" s="107"/>
    </row>
  </sheetData>
  <mergeCells count="5">
    <mergeCell ref="F14:H14"/>
    <mergeCell ref="F2:H2"/>
    <mergeCell ref="Y14:Z14"/>
    <mergeCell ref="AA14:AB14"/>
    <mergeCell ref="I14:V14"/>
  </mergeCells>
  <pageMargins left="0.7" right="0.7" top="0.75" bottom="0.75" header="0.3" footer="0.3"/>
  <pageSetup scale="66" orientation="portrait" r:id="rId1"/>
  <ignoredErrors>
    <ignoredError sqref="H17 E17"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8"/>
  <sheetViews>
    <sheetView workbookViewId="0">
      <selection activeCell="H14" sqref="H14"/>
    </sheetView>
  </sheetViews>
  <sheetFormatPr defaultRowHeight="15" x14ac:dyDescent="0.25"/>
  <cols>
    <col min="1" max="1" width="19" bestFit="1" customWidth="1"/>
    <col min="2" max="2" width="20.42578125" style="31" customWidth="1"/>
    <col min="3" max="16" width="16.28515625" bestFit="1" customWidth="1"/>
    <col min="17" max="17" width="11.28515625" bestFit="1" customWidth="1"/>
  </cols>
  <sheetData>
    <row r="1" spans="1:2" s="34" customFormat="1" x14ac:dyDescent="0.25">
      <c r="A1" s="32" t="s">
        <v>131</v>
      </c>
      <c r="B1" s="64" t="s">
        <v>132</v>
      </c>
    </row>
    <row r="2" spans="1:2" x14ac:dyDescent="0.25">
      <c r="A2" s="24" t="s">
        <v>54</v>
      </c>
      <c r="B2" s="30">
        <v>0</v>
      </c>
    </row>
    <row r="3" spans="1:2" x14ac:dyDescent="0.25">
      <c r="A3" s="24" t="s">
        <v>53</v>
      </c>
      <c r="B3" s="30">
        <v>0</v>
      </c>
    </row>
    <row r="4" spans="1:2" x14ac:dyDescent="0.25">
      <c r="A4" s="24" t="s">
        <v>56</v>
      </c>
      <c r="B4" s="30">
        <v>0.1</v>
      </c>
    </row>
    <row r="5" spans="1:2" x14ac:dyDescent="0.25">
      <c r="A5" s="24" t="s">
        <v>55</v>
      </c>
      <c r="B5" s="30">
        <v>0</v>
      </c>
    </row>
    <row r="6" spans="1:2" x14ac:dyDescent="0.25">
      <c r="A6" s="24" t="s">
        <v>57</v>
      </c>
      <c r="B6" s="30">
        <v>0.33</v>
      </c>
    </row>
    <row r="7" spans="1:2" x14ac:dyDescent="0.25">
      <c r="A7" s="24" t="s">
        <v>58</v>
      </c>
      <c r="B7" s="30">
        <v>0.30000000000000004</v>
      </c>
    </row>
    <row r="8" spans="1:2" x14ac:dyDescent="0.25">
      <c r="A8" s="24" t="s">
        <v>59</v>
      </c>
      <c r="B8" s="30">
        <v>0.23</v>
      </c>
    </row>
    <row r="9" spans="1:2" x14ac:dyDescent="0.25">
      <c r="A9" s="24" t="s">
        <v>61</v>
      </c>
      <c r="B9" s="30">
        <v>0.19</v>
      </c>
    </row>
    <row r="10" spans="1:2" x14ac:dyDescent="0.25">
      <c r="A10" s="24" t="s">
        <v>60</v>
      </c>
      <c r="B10" s="30">
        <v>0.2</v>
      </c>
    </row>
    <row r="11" spans="1:2" x14ac:dyDescent="0.25">
      <c r="A11" s="24" t="s">
        <v>62</v>
      </c>
      <c r="B11" s="30">
        <v>0</v>
      </c>
    </row>
    <row r="12" spans="1:2" x14ac:dyDescent="0.25">
      <c r="A12" s="24" t="s">
        <v>63</v>
      </c>
      <c r="B12" s="30">
        <v>0</v>
      </c>
    </row>
    <row r="13" spans="1:2" x14ac:dyDescent="0.25">
      <c r="A13" s="24" t="s">
        <v>64</v>
      </c>
      <c r="B13" s="30">
        <v>0.25</v>
      </c>
    </row>
    <row r="14" spans="1:2" x14ac:dyDescent="0.25">
      <c r="A14" s="24" t="s">
        <v>66</v>
      </c>
      <c r="B14" s="30">
        <v>0</v>
      </c>
    </row>
    <row r="15" spans="1:2" x14ac:dyDescent="0.25">
      <c r="A15" s="24" t="s">
        <v>67</v>
      </c>
      <c r="B15" s="30">
        <v>0.16</v>
      </c>
    </row>
    <row r="16" spans="1:2" x14ac:dyDescent="0.25">
      <c r="A16" s="24" t="s">
        <v>68</v>
      </c>
      <c r="B16" s="30">
        <v>0</v>
      </c>
    </row>
    <row r="17" spans="1:2" x14ac:dyDescent="0.25">
      <c r="A17" s="24" t="s">
        <v>65</v>
      </c>
      <c r="B17" s="30">
        <v>0</v>
      </c>
    </row>
    <row r="18" spans="1:2" x14ac:dyDescent="0.25">
      <c r="A18" s="24" t="s">
        <v>69</v>
      </c>
      <c r="B18" s="30">
        <v>0.2</v>
      </c>
    </row>
    <row r="19" spans="1:2" x14ac:dyDescent="0.25">
      <c r="A19" s="24" t="s">
        <v>70</v>
      </c>
      <c r="B19" s="30">
        <v>0</v>
      </c>
    </row>
    <row r="20" spans="1:2" x14ac:dyDescent="0.25">
      <c r="A20" s="24" t="s">
        <v>71</v>
      </c>
      <c r="B20" s="30">
        <v>0</v>
      </c>
    </row>
    <row r="21" spans="1:2" x14ac:dyDescent="0.25">
      <c r="A21" s="24" t="s">
        <v>74</v>
      </c>
      <c r="B21" s="30">
        <v>0.4</v>
      </c>
    </row>
    <row r="22" spans="1:2" x14ac:dyDescent="0.25">
      <c r="A22" s="24" t="s">
        <v>73</v>
      </c>
      <c r="B22" s="30">
        <v>0.18</v>
      </c>
    </row>
    <row r="23" spans="1:2" x14ac:dyDescent="0.25">
      <c r="A23" s="24" t="s">
        <v>72</v>
      </c>
      <c r="B23" s="30">
        <v>0.22100000000000003</v>
      </c>
    </row>
    <row r="24" spans="1:2" x14ac:dyDescent="0.25">
      <c r="A24" s="24" t="s">
        <v>75</v>
      </c>
      <c r="B24" s="30">
        <v>0.1</v>
      </c>
    </row>
    <row r="25" spans="1:2" x14ac:dyDescent="0.25">
      <c r="A25" s="24" t="s">
        <v>76</v>
      </c>
      <c r="B25" s="30">
        <v>0.3</v>
      </c>
    </row>
    <row r="26" spans="1:2" x14ac:dyDescent="0.25">
      <c r="A26" s="24" t="s">
        <v>78</v>
      </c>
      <c r="B26" s="30">
        <v>0</v>
      </c>
    </row>
    <row r="27" spans="1:2" x14ac:dyDescent="0.25">
      <c r="A27" s="24" t="s">
        <v>77</v>
      </c>
      <c r="B27" s="30">
        <v>0.1</v>
      </c>
    </row>
    <row r="28" spans="1:2" x14ac:dyDescent="0.25">
      <c r="A28" s="24" t="s">
        <v>79</v>
      </c>
      <c r="B28" s="30">
        <v>0.15</v>
      </c>
    </row>
    <row r="29" spans="1:2" x14ac:dyDescent="0.25">
      <c r="A29" s="24" t="s">
        <v>82</v>
      </c>
      <c r="B29" s="30">
        <v>0</v>
      </c>
    </row>
    <row r="30" spans="1:2" x14ac:dyDescent="0.25">
      <c r="A30" s="24" t="s">
        <v>86</v>
      </c>
      <c r="B30" s="30">
        <v>0.22</v>
      </c>
    </row>
    <row r="31" spans="1:2" x14ac:dyDescent="0.25">
      <c r="A31" s="24" t="s">
        <v>83</v>
      </c>
      <c r="B31" s="30">
        <v>0.20300000000000001</v>
      </c>
    </row>
    <row r="32" spans="1:2" x14ac:dyDescent="0.25">
      <c r="A32" s="24" t="s">
        <v>84</v>
      </c>
      <c r="B32" s="30">
        <v>0.21908999999999998</v>
      </c>
    </row>
    <row r="33" spans="1:2" x14ac:dyDescent="0.25">
      <c r="A33" s="24" t="s">
        <v>85</v>
      </c>
      <c r="B33" s="30">
        <v>0.2</v>
      </c>
    </row>
    <row r="34" spans="1:2" x14ac:dyDescent="0.25">
      <c r="A34" s="24" t="s">
        <v>87</v>
      </c>
      <c r="B34" s="30">
        <v>0.28790432436741797</v>
      </c>
    </row>
    <row r="35" spans="1:2" x14ac:dyDescent="0.25">
      <c r="A35" s="24" t="s">
        <v>80</v>
      </c>
      <c r="B35" s="30">
        <v>0.1</v>
      </c>
    </row>
    <row r="36" spans="1:2" x14ac:dyDescent="0.25">
      <c r="A36" s="24" t="s">
        <v>81</v>
      </c>
      <c r="B36" s="30">
        <v>0</v>
      </c>
    </row>
    <row r="37" spans="1:2" x14ac:dyDescent="0.25">
      <c r="A37" s="24" t="s">
        <v>88</v>
      </c>
      <c r="B37" s="30">
        <v>8.5000000000000006E-2</v>
      </c>
    </row>
    <row r="38" spans="1:2" x14ac:dyDescent="0.25">
      <c r="A38" s="24" t="s">
        <v>89</v>
      </c>
      <c r="B38" s="30">
        <v>0</v>
      </c>
    </row>
    <row r="39" spans="1:2" x14ac:dyDescent="0.25">
      <c r="A39" s="24" t="s">
        <v>90</v>
      </c>
      <c r="B39" s="30">
        <v>0.2</v>
      </c>
    </row>
    <row r="40" spans="1:2" x14ac:dyDescent="0.25">
      <c r="A40" s="24" t="s">
        <v>91</v>
      </c>
      <c r="B40" s="30">
        <v>7.5200000000000017E-2</v>
      </c>
    </row>
    <row r="41" spans="1:2" x14ac:dyDescent="0.25">
      <c r="A41" s="24" t="s">
        <v>92</v>
      </c>
      <c r="B41" s="30">
        <v>0.16</v>
      </c>
    </row>
    <row r="42" spans="1:2" x14ac:dyDescent="0.25">
      <c r="A42" s="24" t="s">
        <v>93</v>
      </c>
      <c r="B42" s="30">
        <v>0</v>
      </c>
    </row>
    <row r="43" spans="1:2" x14ac:dyDescent="0.25">
      <c r="A43" s="24" t="s">
        <v>94</v>
      </c>
      <c r="B43" s="30">
        <v>0</v>
      </c>
    </row>
    <row r="44" spans="1:2" x14ac:dyDescent="0.25">
      <c r="A44" s="24" t="s">
        <v>95</v>
      </c>
      <c r="B44" s="30">
        <v>0</v>
      </c>
    </row>
    <row r="45" spans="1:2" x14ac:dyDescent="0.25">
      <c r="A45" s="24" t="s">
        <v>96</v>
      </c>
      <c r="B45" s="30">
        <v>0</v>
      </c>
    </row>
    <row r="46" spans="1:2" x14ac:dyDescent="0.25">
      <c r="A46" s="24" t="s">
        <v>97</v>
      </c>
      <c r="B46" s="30">
        <v>0</v>
      </c>
    </row>
    <row r="47" spans="1:2" x14ac:dyDescent="0.25">
      <c r="A47" s="24" t="s">
        <v>99</v>
      </c>
      <c r="B47" s="30">
        <v>0</v>
      </c>
    </row>
    <row r="48" spans="1:2" x14ac:dyDescent="0.25">
      <c r="A48" s="24" t="s">
        <v>98</v>
      </c>
      <c r="B48" s="30">
        <v>0</v>
      </c>
    </row>
    <row r="49" spans="1:2" x14ac:dyDescent="0.25">
      <c r="A49" s="24" t="s">
        <v>100</v>
      </c>
      <c r="B49" s="30">
        <v>0.15</v>
      </c>
    </row>
    <row r="50" spans="1:2" x14ac:dyDescent="0.25">
      <c r="A50" s="24" t="s">
        <v>102</v>
      </c>
      <c r="B50" s="30">
        <v>0</v>
      </c>
    </row>
    <row r="51" spans="1:2" x14ac:dyDescent="0.25">
      <c r="A51" s="24" t="s">
        <v>101</v>
      </c>
      <c r="B51" s="30">
        <v>9.5699999999999993E-2</v>
      </c>
    </row>
    <row r="52" spans="1:2" x14ac:dyDescent="0.25">
      <c r="A52" s="24" t="s">
        <v>103</v>
      </c>
      <c r="B52" s="30">
        <v>0</v>
      </c>
    </row>
    <row r="53" spans="1:2" x14ac:dyDescent="0.25">
      <c r="B53"/>
    </row>
    <row r="54" spans="1:2" x14ac:dyDescent="0.25">
      <c r="B54"/>
    </row>
    <row r="55" spans="1:2" x14ac:dyDescent="0.25">
      <c r="B55"/>
    </row>
    <row r="56" spans="1:2" x14ac:dyDescent="0.25">
      <c r="B56"/>
    </row>
    <row r="57" spans="1:2" x14ac:dyDescent="0.25">
      <c r="B57"/>
    </row>
    <row r="58" spans="1:2" x14ac:dyDescent="0.25">
      <c r="B58"/>
    </row>
  </sheetData>
  <sortState ref="A2:B52">
    <sortCondition ref="A1"/>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2"/>
  <sheetViews>
    <sheetView workbookViewId="0">
      <selection activeCell="G56" sqref="G56"/>
    </sheetView>
  </sheetViews>
  <sheetFormatPr defaultRowHeight="15" x14ac:dyDescent="0.25"/>
  <cols>
    <col min="1" max="1" width="20.140625" style="3" customWidth="1"/>
    <col min="2" max="2" width="14.5703125" style="3" bestFit="1" customWidth="1"/>
    <col min="3" max="3" width="29" style="2" customWidth="1"/>
    <col min="4" max="4" width="15.140625" style="2" bestFit="1" customWidth="1"/>
    <col min="5" max="5" width="17" style="2" customWidth="1"/>
    <col min="6" max="6" width="14.5703125" style="2" bestFit="1" customWidth="1"/>
    <col min="7" max="7" width="19.85546875" style="3" customWidth="1"/>
    <col min="8" max="8" width="19.42578125" style="2" customWidth="1"/>
    <col min="9" max="9" width="18.7109375" style="3" customWidth="1"/>
    <col min="10" max="10" width="12.28515625" style="3" bestFit="1" customWidth="1"/>
    <col min="11" max="257" width="9.140625" style="3"/>
    <col min="258" max="258" width="35.7109375" style="3" bestFit="1" customWidth="1"/>
    <col min="259" max="259" width="29" style="3" customWidth="1"/>
    <col min="260" max="260" width="7" style="3" customWidth="1"/>
    <col min="261" max="261" width="17" style="3" customWidth="1"/>
    <col min="262" max="262" width="14.5703125" style="3" bestFit="1" customWidth="1"/>
    <col min="263" max="263" width="18.28515625" style="3" customWidth="1"/>
    <col min="264" max="264" width="19.42578125" style="3" customWidth="1"/>
    <col min="265" max="265" width="18.7109375" style="3" customWidth="1"/>
    <col min="266" max="513" width="9.140625" style="3"/>
    <col min="514" max="514" width="35.7109375" style="3" bestFit="1" customWidth="1"/>
    <col min="515" max="515" width="29" style="3" customWidth="1"/>
    <col min="516" max="516" width="7" style="3" customWidth="1"/>
    <col min="517" max="517" width="17" style="3" customWidth="1"/>
    <col min="518" max="518" width="14.5703125" style="3" bestFit="1" customWidth="1"/>
    <col min="519" max="519" width="18.28515625" style="3" customWidth="1"/>
    <col min="520" max="520" width="19.42578125" style="3" customWidth="1"/>
    <col min="521" max="521" width="18.7109375" style="3" customWidth="1"/>
    <col min="522" max="769" width="9.140625" style="3"/>
    <col min="770" max="770" width="35.7109375" style="3" bestFit="1" customWidth="1"/>
    <col min="771" max="771" width="29" style="3" customWidth="1"/>
    <col min="772" max="772" width="7" style="3" customWidth="1"/>
    <col min="773" max="773" width="17" style="3" customWidth="1"/>
    <col min="774" max="774" width="14.5703125" style="3" bestFit="1" customWidth="1"/>
    <col min="775" max="775" width="18.28515625" style="3" customWidth="1"/>
    <col min="776" max="776" width="19.42578125" style="3" customWidth="1"/>
    <col min="777" max="777" width="18.7109375" style="3" customWidth="1"/>
    <col min="778" max="1025" width="9.140625" style="3"/>
    <col min="1026" max="1026" width="35.7109375" style="3" bestFit="1" customWidth="1"/>
    <col min="1027" max="1027" width="29" style="3" customWidth="1"/>
    <col min="1028" max="1028" width="7" style="3" customWidth="1"/>
    <col min="1029" max="1029" width="17" style="3" customWidth="1"/>
    <col min="1030" max="1030" width="14.5703125" style="3" bestFit="1" customWidth="1"/>
    <col min="1031" max="1031" width="18.28515625" style="3" customWidth="1"/>
    <col min="1032" max="1032" width="19.42578125" style="3" customWidth="1"/>
    <col min="1033" max="1033" width="18.7109375" style="3" customWidth="1"/>
    <col min="1034" max="1281" width="9.140625" style="3"/>
    <col min="1282" max="1282" width="35.7109375" style="3" bestFit="1" customWidth="1"/>
    <col min="1283" max="1283" width="29" style="3" customWidth="1"/>
    <col min="1284" max="1284" width="7" style="3" customWidth="1"/>
    <col min="1285" max="1285" width="17" style="3" customWidth="1"/>
    <col min="1286" max="1286" width="14.5703125" style="3" bestFit="1" customWidth="1"/>
    <col min="1287" max="1287" width="18.28515625" style="3" customWidth="1"/>
    <col min="1288" max="1288" width="19.42578125" style="3" customWidth="1"/>
    <col min="1289" max="1289" width="18.7109375" style="3" customWidth="1"/>
    <col min="1290" max="1537" width="9.140625" style="3"/>
    <col min="1538" max="1538" width="35.7109375" style="3" bestFit="1" customWidth="1"/>
    <col min="1539" max="1539" width="29" style="3" customWidth="1"/>
    <col min="1540" max="1540" width="7" style="3" customWidth="1"/>
    <col min="1541" max="1541" width="17" style="3" customWidth="1"/>
    <col min="1542" max="1542" width="14.5703125" style="3" bestFit="1" customWidth="1"/>
    <col min="1543" max="1543" width="18.28515625" style="3" customWidth="1"/>
    <col min="1544" max="1544" width="19.42578125" style="3" customWidth="1"/>
    <col min="1545" max="1545" width="18.7109375" style="3" customWidth="1"/>
    <col min="1546" max="1793" width="9.140625" style="3"/>
    <col min="1794" max="1794" width="35.7109375" style="3" bestFit="1" customWidth="1"/>
    <col min="1795" max="1795" width="29" style="3" customWidth="1"/>
    <col min="1796" max="1796" width="7" style="3" customWidth="1"/>
    <col min="1797" max="1797" width="17" style="3" customWidth="1"/>
    <col min="1798" max="1798" width="14.5703125" style="3" bestFit="1" customWidth="1"/>
    <col min="1799" max="1799" width="18.28515625" style="3" customWidth="1"/>
    <col min="1800" max="1800" width="19.42578125" style="3" customWidth="1"/>
    <col min="1801" max="1801" width="18.7109375" style="3" customWidth="1"/>
    <col min="1802" max="2049" width="9.140625" style="3"/>
    <col min="2050" max="2050" width="35.7109375" style="3" bestFit="1" customWidth="1"/>
    <col min="2051" max="2051" width="29" style="3" customWidth="1"/>
    <col min="2052" max="2052" width="7" style="3" customWidth="1"/>
    <col min="2053" max="2053" width="17" style="3" customWidth="1"/>
    <col min="2054" max="2054" width="14.5703125" style="3" bestFit="1" customWidth="1"/>
    <col min="2055" max="2055" width="18.28515625" style="3" customWidth="1"/>
    <col min="2056" max="2056" width="19.42578125" style="3" customWidth="1"/>
    <col min="2057" max="2057" width="18.7109375" style="3" customWidth="1"/>
    <col min="2058" max="2305" width="9.140625" style="3"/>
    <col min="2306" max="2306" width="35.7109375" style="3" bestFit="1" customWidth="1"/>
    <col min="2307" max="2307" width="29" style="3" customWidth="1"/>
    <col min="2308" max="2308" width="7" style="3" customWidth="1"/>
    <col min="2309" max="2309" width="17" style="3" customWidth="1"/>
    <col min="2310" max="2310" width="14.5703125" style="3" bestFit="1" customWidth="1"/>
    <col min="2311" max="2311" width="18.28515625" style="3" customWidth="1"/>
    <col min="2312" max="2312" width="19.42578125" style="3" customWidth="1"/>
    <col min="2313" max="2313" width="18.7109375" style="3" customWidth="1"/>
    <col min="2314" max="2561" width="9.140625" style="3"/>
    <col min="2562" max="2562" width="35.7109375" style="3" bestFit="1" customWidth="1"/>
    <col min="2563" max="2563" width="29" style="3" customWidth="1"/>
    <col min="2564" max="2564" width="7" style="3" customWidth="1"/>
    <col min="2565" max="2565" width="17" style="3" customWidth="1"/>
    <col min="2566" max="2566" width="14.5703125" style="3" bestFit="1" customWidth="1"/>
    <col min="2567" max="2567" width="18.28515625" style="3" customWidth="1"/>
    <col min="2568" max="2568" width="19.42578125" style="3" customWidth="1"/>
    <col min="2569" max="2569" width="18.7109375" style="3" customWidth="1"/>
    <col min="2570" max="2817" width="9.140625" style="3"/>
    <col min="2818" max="2818" width="35.7109375" style="3" bestFit="1" customWidth="1"/>
    <col min="2819" max="2819" width="29" style="3" customWidth="1"/>
    <col min="2820" max="2820" width="7" style="3" customWidth="1"/>
    <col min="2821" max="2821" width="17" style="3" customWidth="1"/>
    <col min="2822" max="2822" width="14.5703125" style="3" bestFit="1" customWidth="1"/>
    <col min="2823" max="2823" width="18.28515625" style="3" customWidth="1"/>
    <col min="2824" max="2824" width="19.42578125" style="3" customWidth="1"/>
    <col min="2825" max="2825" width="18.7109375" style="3" customWidth="1"/>
    <col min="2826" max="3073" width="9.140625" style="3"/>
    <col min="3074" max="3074" width="35.7109375" style="3" bestFit="1" customWidth="1"/>
    <col min="3075" max="3075" width="29" style="3" customWidth="1"/>
    <col min="3076" max="3076" width="7" style="3" customWidth="1"/>
    <col min="3077" max="3077" width="17" style="3" customWidth="1"/>
    <col min="3078" max="3078" width="14.5703125" style="3" bestFit="1" customWidth="1"/>
    <col min="3079" max="3079" width="18.28515625" style="3" customWidth="1"/>
    <col min="3080" max="3080" width="19.42578125" style="3" customWidth="1"/>
    <col min="3081" max="3081" width="18.7109375" style="3" customWidth="1"/>
    <col min="3082" max="3329" width="9.140625" style="3"/>
    <col min="3330" max="3330" width="35.7109375" style="3" bestFit="1" customWidth="1"/>
    <col min="3331" max="3331" width="29" style="3" customWidth="1"/>
    <col min="3332" max="3332" width="7" style="3" customWidth="1"/>
    <col min="3333" max="3333" width="17" style="3" customWidth="1"/>
    <col min="3334" max="3334" width="14.5703125" style="3" bestFit="1" customWidth="1"/>
    <col min="3335" max="3335" width="18.28515625" style="3" customWidth="1"/>
    <col min="3336" max="3336" width="19.42578125" style="3" customWidth="1"/>
    <col min="3337" max="3337" width="18.7109375" style="3" customWidth="1"/>
    <col min="3338" max="3585" width="9.140625" style="3"/>
    <col min="3586" max="3586" width="35.7109375" style="3" bestFit="1" customWidth="1"/>
    <col min="3587" max="3587" width="29" style="3" customWidth="1"/>
    <col min="3588" max="3588" width="7" style="3" customWidth="1"/>
    <col min="3589" max="3589" width="17" style="3" customWidth="1"/>
    <col min="3590" max="3590" width="14.5703125" style="3" bestFit="1" customWidth="1"/>
    <col min="3591" max="3591" width="18.28515625" style="3" customWidth="1"/>
    <col min="3592" max="3592" width="19.42578125" style="3" customWidth="1"/>
    <col min="3593" max="3593" width="18.7109375" style="3" customWidth="1"/>
    <col min="3594" max="3841" width="9.140625" style="3"/>
    <col min="3842" max="3842" width="35.7109375" style="3" bestFit="1" customWidth="1"/>
    <col min="3843" max="3843" width="29" style="3" customWidth="1"/>
    <col min="3844" max="3844" width="7" style="3" customWidth="1"/>
    <col min="3845" max="3845" width="17" style="3" customWidth="1"/>
    <col min="3846" max="3846" width="14.5703125" style="3" bestFit="1" customWidth="1"/>
    <col min="3847" max="3847" width="18.28515625" style="3" customWidth="1"/>
    <col min="3848" max="3848" width="19.42578125" style="3" customWidth="1"/>
    <col min="3849" max="3849" width="18.7109375" style="3" customWidth="1"/>
    <col min="3850" max="4097" width="9.140625" style="3"/>
    <col min="4098" max="4098" width="35.7109375" style="3" bestFit="1" customWidth="1"/>
    <col min="4099" max="4099" width="29" style="3" customWidth="1"/>
    <col min="4100" max="4100" width="7" style="3" customWidth="1"/>
    <col min="4101" max="4101" width="17" style="3" customWidth="1"/>
    <col min="4102" max="4102" width="14.5703125" style="3" bestFit="1" customWidth="1"/>
    <col min="4103" max="4103" width="18.28515625" style="3" customWidth="1"/>
    <col min="4104" max="4104" width="19.42578125" style="3" customWidth="1"/>
    <col min="4105" max="4105" width="18.7109375" style="3" customWidth="1"/>
    <col min="4106" max="4353" width="9.140625" style="3"/>
    <col min="4354" max="4354" width="35.7109375" style="3" bestFit="1" customWidth="1"/>
    <col min="4355" max="4355" width="29" style="3" customWidth="1"/>
    <col min="4356" max="4356" width="7" style="3" customWidth="1"/>
    <col min="4357" max="4357" width="17" style="3" customWidth="1"/>
    <col min="4358" max="4358" width="14.5703125" style="3" bestFit="1" customWidth="1"/>
    <col min="4359" max="4359" width="18.28515625" style="3" customWidth="1"/>
    <col min="4360" max="4360" width="19.42578125" style="3" customWidth="1"/>
    <col min="4361" max="4361" width="18.7109375" style="3" customWidth="1"/>
    <col min="4362" max="4609" width="9.140625" style="3"/>
    <col min="4610" max="4610" width="35.7109375" style="3" bestFit="1" customWidth="1"/>
    <col min="4611" max="4611" width="29" style="3" customWidth="1"/>
    <col min="4612" max="4612" width="7" style="3" customWidth="1"/>
    <col min="4613" max="4613" width="17" style="3" customWidth="1"/>
    <col min="4614" max="4614" width="14.5703125" style="3" bestFit="1" customWidth="1"/>
    <col min="4615" max="4615" width="18.28515625" style="3" customWidth="1"/>
    <col min="4616" max="4616" width="19.42578125" style="3" customWidth="1"/>
    <col min="4617" max="4617" width="18.7109375" style="3" customWidth="1"/>
    <col min="4618" max="4865" width="9.140625" style="3"/>
    <col min="4866" max="4866" width="35.7109375" style="3" bestFit="1" customWidth="1"/>
    <col min="4867" max="4867" width="29" style="3" customWidth="1"/>
    <col min="4868" max="4868" width="7" style="3" customWidth="1"/>
    <col min="4869" max="4869" width="17" style="3" customWidth="1"/>
    <col min="4870" max="4870" width="14.5703125" style="3" bestFit="1" customWidth="1"/>
    <col min="4871" max="4871" width="18.28515625" style="3" customWidth="1"/>
    <col min="4872" max="4872" width="19.42578125" style="3" customWidth="1"/>
    <col min="4873" max="4873" width="18.7109375" style="3" customWidth="1"/>
    <col min="4874" max="5121" width="9.140625" style="3"/>
    <col min="5122" max="5122" width="35.7109375" style="3" bestFit="1" customWidth="1"/>
    <col min="5123" max="5123" width="29" style="3" customWidth="1"/>
    <col min="5124" max="5124" width="7" style="3" customWidth="1"/>
    <col min="5125" max="5125" width="17" style="3" customWidth="1"/>
    <col min="5126" max="5126" width="14.5703125" style="3" bestFit="1" customWidth="1"/>
    <col min="5127" max="5127" width="18.28515625" style="3" customWidth="1"/>
    <col min="5128" max="5128" width="19.42578125" style="3" customWidth="1"/>
    <col min="5129" max="5129" width="18.7109375" style="3" customWidth="1"/>
    <col min="5130" max="5377" width="9.140625" style="3"/>
    <col min="5378" max="5378" width="35.7109375" style="3" bestFit="1" customWidth="1"/>
    <col min="5379" max="5379" width="29" style="3" customWidth="1"/>
    <col min="5380" max="5380" width="7" style="3" customWidth="1"/>
    <col min="5381" max="5381" width="17" style="3" customWidth="1"/>
    <col min="5382" max="5382" width="14.5703125" style="3" bestFit="1" customWidth="1"/>
    <col min="5383" max="5383" width="18.28515625" style="3" customWidth="1"/>
    <col min="5384" max="5384" width="19.42578125" style="3" customWidth="1"/>
    <col min="5385" max="5385" width="18.7109375" style="3" customWidth="1"/>
    <col min="5386" max="5633" width="9.140625" style="3"/>
    <col min="5634" max="5634" width="35.7109375" style="3" bestFit="1" customWidth="1"/>
    <col min="5635" max="5635" width="29" style="3" customWidth="1"/>
    <col min="5636" max="5636" width="7" style="3" customWidth="1"/>
    <col min="5637" max="5637" width="17" style="3" customWidth="1"/>
    <col min="5638" max="5638" width="14.5703125" style="3" bestFit="1" customWidth="1"/>
    <col min="5639" max="5639" width="18.28515625" style="3" customWidth="1"/>
    <col min="5640" max="5640" width="19.42578125" style="3" customWidth="1"/>
    <col min="5641" max="5641" width="18.7109375" style="3" customWidth="1"/>
    <col min="5642" max="5889" width="9.140625" style="3"/>
    <col min="5890" max="5890" width="35.7109375" style="3" bestFit="1" customWidth="1"/>
    <col min="5891" max="5891" width="29" style="3" customWidth="1"/>
    <col min="5892" max="5892" width="7" style="3" customWidth="1"/>
    <col min="5893" max="5893" width="17" style="3" customWidth="1"/>
    <col min="5894" max="5894" width="14.5703125" style="3" bestFit="1" customWidth="1"/>
    <col min="5895" max="5895" width="18.28515625" style="3" customWidth="1"/>
    <col min="5896" max="5896" width="19.42578125" style="3" customWidth="1"/>
    <col min="5897" max="5897" width="18.7109375" style="3" customWidth="1"/>
    <col min="5898" max="6145" width="9.140625" style="3"/>
    <col min="6146" max="6146" width="35.7109375" style="3" bestFit="1" customWidth="1"/>
    <col min="6147" max="6147" width="29" style="3" customWidth="1"/>
    <col min="6148" max="6148" width="7" style="3" customWidth="1"/>
    <col min="6149" max="6149" width="17" style="3" customWidth="1"/>
    <col min="6150" max="6150" width="14.5703125" style="3" bestFit="1" customWidth="1"/>
    <col min="6151" max="6151" width="18.28515625" style="3" customWidth="1"/>
    <col min="6152" max="6152" width="19.42578125" style="3" customWidth="1"/>
    <col min="6153" max="6153" width="18.7109375" style="3" customWidth="1"/>
    <col min="6154" max="6401" width="9.140625" style="3"/>
    <col min="6402" max="6402" width="35.7109375" style="3" bestFit="1" customWidth="1"/>
    <col min="6403" max="6403" width="29" style="3" customWidth="1"/>
    <col min="6404" max="6404" width="7" style="3" customWidth="1"/>
    <col min="6405" max="6405" width="17" style="3" customWidth="1"/>
    <col min="6406" max="6406" width="14.5703125" style="3" bestFit="1" customWidth="1"/>
    <col min="6407" max="6407" width="18.28515625" style="3" customWidth="1"/>
    <col min="6408" max="6408" width="19.42578125" style="3" customWidth="1"/>
    <col min="6409" max="6409" width="18.7109375" style="3" customWidth="1"/>
    <col min="6410" max="6657" width="9.140625" style="3"/>
    <col min="6658" max="6658" width="35.7109375" style="3" bestFit="1" customWidth="1"/>
    <col min="6659" max="6659" width="29" style="3" customWidth="1"/>
    <col min="6660" max="6660" width="7" style="3" customWidth="1"/>
    <col min="6661" max="6661" width="17" style="3" customWidth="1"/>
    <col min="6662" max="6662" width="14.5703125" style="3" bestFit="1" customWidth="1"/>
    <col min="6663" max="6663" width="18.28515625" style="3" customWidth="1"/>
    <col min="6664" max="6664" width="19.42578125" style="3" customWidth="1"/>
    <col min="6665" max="6665" width="18.7109375" style="3" customWidth="1"/>
    <col min="6666" max="6913" width="9.140625" style="3"/>
    <col min="6914" max="6914" width="35.7109375" style="3" bestFit="1" customWidth="1"/>
    <col min="6915" max="6915" width="29" style="3" customWidth="1"/>
    <col min="6916" max="6916" width="7" style="3" customWidth="1"/>
    <col min="6917" max="6917" width="17" style="3" customWidth="1"/>
    <col min="6918" max="6918" width="14.5703125" style="3" bestFit="1" customWidth="1"/>
    <col min="6919" max="6919" width="18.28515625" style="3" customWidth="1"/>
    <col min="6920" max="6920" width="19.42578125" style="3" customWidth="1"/>
    <col min="6921" max="6921" width="18.7109375" style="3" customWidth="1"/>
    <col min="6922" max="7169" width="9.140625" style="3"/>
    <col min="7170" max="7170" width="35.7109375" style="3" bestFit="1" customWidth="1"/>
    <col min="7171" max="7171" width="29" style="3" customWidth="1"/>
    <col min="7172" max="7172" width="7" style="3" customWidth="1"/>
    <col min="7173" max="7173" width="17" style="3" customWidth="1"/>
    <col min="7174" max="7174" width="14.5703125" style="3" bestFit="1" customWidth="1"/>
    <col min="7175" max="7175" width="18.28515625" style="3" customWidth="1"/>
    <col min="7176" max="7176" width="19.42578125" style="3" customWidth="1"/>
    <col min="7177" max="7177" width="18.7109375" style="3" customWidth="1"/>
    <col min="7178" max="7425" width="9.140625" style="3"/>
    <col min="7426" max="7426" width="35.7109375" style="3" bestFit="1" customWidth="1"/>
    <col min="7427" max="7427" width="29" style="3" customWidth="1"/>
    <col min="7428" max="7428" width="7" style="3" customWidth="1"/>
    <col min="7429" max="7429" width="17" style="3" customWidth="1"/>
    <col min="7430" max="7430" width="14.5703125" style="3" bestFit="1" customWidth="1"/>
    <col min="7431" max="7431" width="18.28515625" style="3" customWidth="1"/>
    <col min="7432" max="7432" width="19.42578125" style="3" customWidth="1"/>
    <col min="7433" max="7433" width="18.7109375" style="3" customWidth="1"/>
    <col min="7434" max="7681" width="9.140625" style="3"/>
    <col min="7682" max="7682" width="35.7109375" style="3" bestFit="1" customWidth="1"/>
    <col min="7683" max="7683" width="29" style="3" customWidth="1"/>
    <col min="7684" max="7684" width="7" style="3" customWidth="1"/>
    <col min="7685" max="7685" width="17" style="3" customWidth="1"/>
    <col min="7686" max="7686" width="14.5703125" style="3" bestFit="1" customWidth="1"/>
    <col min="7687" max="7687" width="18.28515625" style="3" customWidth="1"/>
    <col min="7688" max="7688" width="19.42578125" style="3" customWidth="1"/>
    <col min="7689" max="7689" width="18.7109375" style="3" customWidth="1"/>
    <col min="7690" max="7937" width="9.140625" style="3"/>
    <col min="7938" max="7938" width="35.7109375" style="3" bestFit="1" customWidth="1"/>
    <col min="7939" max="7939" width="29" style="3" customWidth="1"/>
    <col min="7940" max="7940" width="7" style="3" customWidth="1"/>
    <col min="7941" max="7941" width="17" style="3" customWidth="1"/>
    <col min="7942" max="7942" width="14.5703125" style="3" bestFit="1" customWidth="1"/>
    <col min="7943" max="7943" width="18.28515625" style="3" customWidth="1"/>
    <col min="7944" max="7944" width="19.42578125" style="3" customWidth="1"/>
    <col min="7945" max="7945" width="18.7109375" style="3" customWidth="1"/>
    <col min="7946" max="8193" width="9.140625" style="3"/>
    <col min="8194" max="8194" width="35.7109375" style="3" bestFit="1" customWidth="1"/>
    <col min="8195" max="8195" width="29" style="3" customWidth="1"/>
    <col min="8196" max="8196" width="7" style="3" customWidth="1"/>
    <col min="8197" max="8197" width="17" style="3" customWidth="1"/>
    <col min="8198" max="8198" width="14.5703125" style="3" bestFit="1" customWidth="1"/>
    <col min="8199" max="8199" width="18.28515625" style="3" customWidth="1"/>
    <col min="8200" max="8200" width="19.42578125" style="3" customWidth="1"/>
    <col min="8201" max="8201" width="18.7109375" style="3" customWidth="1"/>
    <col min="8202" max="8449" width="9.140625" style="3"/>
    <col min="8450" max="8450" width="35.7109375" style="3" bestFit="1" customWidth="1"/>
    <col min="8451" max="8451" width="29" style="3" customWidth="1"/>
    <col min="8452" max="8452" width="7" style="3" customWidth="1"/>
    <col min="8453" max="8453" width="17" style="3" customWidth="1"/>
    <col min="8454" max="8454" width="14.5703125" style="3" bestFit="1" customWidth="1"/>
    <col min="8455" max="8455" width="18.28515625" style="3" customWidth="1"/>
    <col min="8456" max="8456" width="19.42578125" style="3" customWidth="1"/>
    <col min="8457" max="8457" width="18.7109375" style="3" customWidth="1"/>
    <col min="8458" max="8705" width="9.140625" style="3"/>
    <col min="8706" max="8706" width="35.7109375" style="3" bestFit="1" customWidth="1"/>
    <col min="8707" max="8707" width="29" style="3" customWidth="1"/>
    <col min="8708" max="8708" width="7" style="3" customWidth="1"/>
    <col min="8709" max="8709" width="17" style="3" customWidth="1"/>
    <col min="8710" max="8710" width="14.5703125" style="3" bestFit="1" customWidth="1"/>
    <col min="8711" max="8711" width="18.28515625" style="3" customWidth="1"/>
    <col min="8712" max="8712" width="19.42578125" style="3" customWidth="1"/>
    <col min="8713" max="8713" width="18.7109375" style="3" customWidth="1"/>
    <col min="8714" max="8961" width="9.140625" style="3"/>
    <col min="8962" max="8962" width="35.7109375" style="3" bestFit="1" customWidth="1"/>
    <col min="8963" max="8963" width="29" style="3" customWidth="1"/>
    <col min="8964" max="8964" width="7" style="3" customWidth="1"/>
    <col min="8965" max="8965" width="17" style="3" customWidth="1"/>
    <col min="8966" max="8966" width="14.5703125" style="3" bestFit="1" customWidth="1"/>
    <col min="8967" max="8967" width="18.28515625" style="3" customWidth="1"/>
    <col min="8968" max="8968" width="19.42578125" style="3" customWidth="1"/>
    <col min="8969" max="8969" width="18.7109375" style="3" customWidth="1"/>
    <col min="8970" max="9217" width="9.140625" style="3"/>
    <col min="9218" max="9218" width="35.7109375" style="3" bestFit="1" customWidth="1"/>
    <col min="9219" max="9219" width="29" style="3" customWidth="1"/>
    <col min="9220" max="9220" width="7" style="3" customWidth="1"/>
    <col min="9221" max="9221" width="17" style="3" customWidth="1"/>
    <col min="9222" max="9222" width="14.5703125" style="3" bestFit="1" customWidth="1"/>
    <col min="9223" max="9223" width="18.28515625" style="3" customWidth="1"/>
    <col min="9224" max="9224" width="19.42578125" style="3" customWidth="1"/>
    <col min="9225" max="9225" width="18.7109375" style="3" customWidth="1"/>
    <col min="9226" max="9473" width="9.140625" style="3"/>
    <col min="9474" max="9474" width="35.7109375" style="3" bestFit="1" customWidth="1"/>
    <col min="9475" max="9475" width="29" style="3" customWidth="1"/>
    <col min="9476" max="9476" width="7" style="3" customWidth="1"/>
    <col min="9477" max="9477" width="17" style="3" customWidth="1"/>
    <col min="9478" max="9478" width="14.5703125" style="3" bestFit="1" customWidth="1"/>
    <col min="9479" max="9479" width="18.28515625" style="3" customWidth="1"/>
    <col min="9480" max="9480" width="19.42578125" style="3" customWidth="1"/>
    <col min="9481" max="9481" width="18.7109375" style="3" customWidth="1"/>
    <col min="9482" max="9729" width="9.140625" style="3"/>
    <col min="9730" max="9730" width="35.7109375" style="3" bestFit="1" customWidth="1"/>
    <col min="9731" max="9731" width="29" style="3" customWidth="1"/>
    <col min="9732" max="9732" width="7" style="3" customWidth="1"/>
    <col min="9733" max="9733" width="17" style="3" customWidth="1"/>
    <col min="9734" max="9734" width="14.5703125" style="3" bestFit="1" customWidth="1"/>
    <col min="9735" max="9735" width="18.28515625" style="3" customWidth="1"/>
    <col min="9736" max="9736" width="19.42578125" style="3" customWidth="1"/>
    <col min="9737" max="9737" width="18.7109375" style="3" customWidth="1"/>
    <col min="9738" max="9985" width="9.140625" style="3"/>
    <col min="9986" max="9986" width="35.7109375" style="3" bestFit="1" customWidth="1"/>
    <col min="9987" max="9987" width="29" style="3" customWidth="1"/>
    <col min="9988" max="9988" width="7" style="3" customWidth="1"/>
    <col min="9989" max="9989" width="17" style="3" customWidth="1"/>
    <col min="9990" max="9990" width="14.5703125" style="3" bestFit="1" customWidth="1"/>
    <col min="9991" max="9991" width="18.28515625" style="3" customWidth="1"/>
    <col min="9992" max="9992" width="19.42578125" style="3" customWidth="1"/>
    <col min="9993" max="9993" width="18.7109375" style="3" customWidth="1"/>
    <col min="9994" max="10241" width="9.140625" style="3"/>
    <col min="10242" max="10242" width="35.7109375" style="3" bestFit="1" customWidth="1"/>
    <col min="10243" max="10243" width="29" style="3" customWidth="1"/>
    <col min="10244" max="10244" width="7" style="3" customWidth="1"/>
    <col min="10245" max="10245" width="17" style="3" customWidth="1"/>
    <col min="10246" max="10246" width="14.5703125" style="3" bestFit="1" customWidth="1"/>
    <col min="10247" max="10247" width="18.28515625" style="3" customWidth="1"/>
    <col min="10248" max="10248" width="19.42578125" style="3" customWidth="1"/>
    <col min="10249" max="10249" width="18.7109375" style="3" customWidth="1"/>
    <col min="10250" max="10497" width="9.140625" style="3"/>
    <col min="10498" max="10498" width="35.7109375" style="3" bestFit="1" customWidth="1"/>
    <col min="10499" max="10499" width="29" style="3" customWidth="1"/>
    <col min="10500" max="10500" width="7" style="3" customWidth="1"/>
    <col min="10501" max="10501" width="17" style="3" customWidth="1"/>
    <col min="10502" max="10502" width="14.5703125" style="3" bestFit="1" customWidth="1"/>
    <col min="10503" max="10503" width="18.28515625" style="3" customWidth="1"/>
    <col min="10504" max="10504" width="19.42578125" style="3" customWidth="1"/>
    <col min="10505" max="10505" width="18.7109375" style="3" customWidth="1"/>
    <col min="10506" max="10753" width="9.140625" style="3"/>
    <col min="10754" max="10754" width="35.7109375" style="3" bestFit="1" customWidth="1"/>
    <col min="10755" max="10755" width="29" style="3" customWidth="1"/>
    <col min="10756" max="10756" width="7" style="3" customWidth="1"/>
    <col min="10757" max="10757" width="17" style="3" customWidth="1"/>
    <col min="10758" max="10758" width="14.5703125" style="3" bestFit="1" customWidth="1"/>
    <col min="10759" max="10759" width="18.28515625" style="3" customWidth="1"/>
    <col min="10760" max="10760" width="19.42578125" style="3" customWidth="1"/>
    <col min="10761" max="10761" width="18.7109375" style="3" customWidth="1"/>
    <col min="10762" max="11009" width="9.140625" style="3"/>
    <col min="11010" max="11010" width="35.7109375" style="3" bestFit="1" customWidth="1"/>
    <col min="11011" max="11011" width="29" style="3" customWidth="1"/>
    <col min="11012" max="11012" width="7" style="3" customWidth="1"/>
    <col min="11013" max="11013" width="17" style="3" customWidth="1"/>
    <col min="11014" max="11014" width="14.5703125" style="3" bestFit="1" customWidth="1"/>
    <col min="11015" max="11015" width="18.28515625" style="3" customWidth="1"/>
    <col min="11016" max="11016" width="19.42578125" style="3" customWidth="1"/>
    <col min="11017" max="11017" width="18.7109375" style="3" customWidth="1"/>
    <col min="11018" max="11265" width="9.140625" style="3"/>
    <col min="11266" max="11266" width="35.7109375" style="3" bestFit="1" customWidth="1"/>
    <col min="11267" max="11267" width="29" style="3" customWidth="1"/>
    <col min="11268" max="11268" width="7" style="3" customWidth="1"/>
    <col min="11269" max="11269" width="17" style="3" customWidth="1"/>
    <col min="11270" max="11270" width="14.5703125" style="3" bestFit="1" customWidth="1"/>
    <col min="11271" max="11271" width="18.28515625" style="3" customWidth="1"/>
    <col min="11272" max="11272" width="19.42578125" style="3" customWidth="1"/>
    <col min="11273" max="11273" width="18.7109375" style="3" customWidth="1"/>
    <col min="11274" max="11521" width="9.140625" style="3"/>
    <col min="11522" max="11522" width="35.7109375" style="3" bestFit="1" customWidth="1"/>
    <col min="11523" max="11523" width="29" style="3" customWidth="1"/>
    <col min="11524" max="11524" width="7" style="3" customWidth="1"/>
    <col min="11525" max="11525" width="17" style="3" customWidth="1"/>
    <col min="11526" max="11526" width="14.5703125" style="3" bestFit="1" customWidth="1"/>
    <col min="11527" max="11527" width="18.28515625" style="3" customWidth="1"/>
    <col min="11528" max="11528" width="19.42578125" style="3" customWidth="1"/>
    <col min="11529" max="11529" width="18.7109375" style="3" customWidth="1"/>
    <col min="11530" max="11777" width="9.140625" style="3"/>
    <col min="11778" max="11778" width="35.7109375" style="3" bestFit="1" customWidth="1"/>
    <col min="11779" max="11779" width="29" style="3" customWidth="1"/>
    <col min="11780" max="11780" width="7" style="3" customWidth="1"/>
    <col min="11781" max="11781" width="17" style="3" customWidth="1"/>
    <col min="11782" max="11782" width="14.5703125" style="3" bestFit="1" customWidth="1"/>
    <col min="11783" max="11783" width="18.28515625" style="3" customWidth="1"/>
    <col min="11784" max="11784" width="19.42578125" style="3" customWidth="1"/>
    <col min="11785" max="11785" width="18.7109375" style="3" customWidth="1"/>
    <col min="11786" max="12033" width="9.140625" style="3"/>
    <col min="12034" max="12034" width="35.7109375" style="3" bestFit="1" customWidth="1"/>
    <col min="12035" max="12035" width="29" style="3" customWidth="1"/>
    <col min="12036" max="12036" width="7" style="3" customWidth="1"/>
    <col min="12037" max="12037" width="17" style="3" customWidth="1"/>
    <col min="12038" max="12038" width="14.5703125" style="3" bestFit="1" customWidth="1"/>
    <col min="12039" max="12039" width="18.28515625" style="3" customWidth="1"/>
    <col min="12040" max="12040" width="19.42578125" style="3" customWidth="1"/>
    <col min="12041" max="12041" width="18.7109375" style="3" customWidth="1"/>
    <col min="12042" max="12289" width="9.140625" style="3"/>
    <col min="12290" max="12290" width="35.7109375" style="3" bestFit="1" customWidth="1"/>
    <col min="12291" max="12291" width="29" style="3" customWidth="1"/>
    <col min="12292" max="12292" width="7" style="3" customWidth="1"/>
    <col min="12293" max="12293" width="17" style="3" customWidth="1"/>
    <col min="12294" max="12294" width="14.5703125" style="3" bestFit="1" customWidth="1"/>
    <col min="12295" max="12295" width="18.28515625" style="3" customWidth="1"/>
    <col min="12296" max="12296" width="19.42578125" style="3" customWidth="1"/>
    <col min="12297" max="12297" width="18.7109375" style="3" customWidth="1"/>
    <col min="12298" max="12545" width="9.140625" style="3"/>
    <col min="12546" max="12546" width="35.7109375" style="3" bestFit="1" customWidth="1"/>
    <col min="12547" max="12547" width="29" style="3" customWidth="1"/>
    <col min="12548" max="12548" width="7" style="3" customWidth="1"/>
    <col min="12549" max="12549" width="17" style="3" customWidth="1"/>
    <col min="12550" max="12550" width="14.5703125" style="3" bestFit="1" customWidth="1"/>
    <col min="12551" max="12551" width="18.28515625" style="3" customWidth="1"/>
    <col min="12552" max="12552" width="19.42578125" style="3" customWidth="1"/>
    <col min="12553" max="12553" width="18.7109375" style="3" customWidth="1"/>
    <col min="12554" max="12801" width="9.140625" style="3"/>
    <col min="12802" max="12802" width="35.7109375" style="3" bestFit="1" customWidth="1"/>
    <col min="12803" max="12803" width="29" style="3" customWidth="1"/>
    <col min="12804" max="12804" width="7" style="3" customWidth="1"/>
    <col min="12805" max="12805" width="17" style="3" customWidth="1"/>
    <col min="12806" max="12806" width="14.5703125" style="3" bestFit="1" customWidth="1"/>
    <col min="12807" max="12807" width="18.28515625" style="3" customWidth="1"/>
    <col min="12808" max="12808" width="19.42578125" style="3" customWidth="1"/>
    <col min="12809" max="12809" width="18.7109375" style="3" customWidth="1"/>
    <col min="12810" max="13057" width="9.140625" style="3"/>
    <col min="13058" max="13058" width="35.7109375" style="3" bestFit="1" customWidth="1"/>
    <col min="13059" max="13059" width="29" style="3" customWidth="1"/>
    <col min="13060" max="13060" width="7" style="3" customWidth="1"/>
    <col min="13061" max="13061" width="17" style="3" customWidth="1"/>
    <col min="13062" max="13062" width="14.5703125" style="3" bestFit="1" customWidth="1"/>
    <col min="13063" max="13063" width="18.28515625" style="3" customWidth="1"/>
    <col min="13064" max="13064" width="19.42578125" style="3" customWidth="1"/>
    <col min="13065" max="13065" width="18.7109375" style="3" customWidth="1"/>
    <col min="13066" max="13313" width="9.140625" style="3"/>
    <col min="13314" max="13314" width="35.7109375" style="3" bestFit="1" customWidth="1"/>
    <col min="13315" max="13315" width="29" style="3" customWidth="1"/>
    <col min="13316" max="13316" width="7" style="3" customWidth="1"/>
    <col min="13317" max="13317" width="17" style="3" customWidth="1"/>
    <col min="13318" max="13318" width="14.5703125" style="3" bestFit="1" customWidth="1"/>
    <col min="13319" max="13319" width="18.28515625" style="3" customWidth="1"/>
    <col min="13320" max="13320" width="19.42578125" style="3" customWidth="1"/>
    <col min="13321" max="13321" width="18.7109375" style="3" customWidth="1"/>
    <col min="13322" max="13569" width="9.140625" style="3"/>
    <col min="13570" max="13570" width="35.7109375" style="3" bestFit="1" customWidth="1"/>
    <col min="13571" max="13571" width="29" style="3" customWidth="1"/>
    <col min="13572" max="13572" width="7" style="3" customWidth="1"/>
    <col min="13573" max="13573" width="17" style="3" customWidth="1"/>
    <col min="13574" max="13574" width="14.5703125" style="3" bestFit="1" customWidth="1"/>
    <col min="13575" max="13575" width="18.28515625" style="3" customWidth="1"/>
    <col min="13576" max="13576" width="19.42578125" style="3" customWidth="1"/>
    <col min="13577" max="13577" width="18.7109375" style="3" customWidth="1"/>
    <col min="13578" max="13825" width="9.140625" style="3"/>
    <col min="13826" max="13826" width="35.7109375" style="3" bestFit="1" customWidth="1"/>
    <col min="13827" max="13827" width="29" style="3" customWidth="1"/>
    <col min="13828" max="13828" width="7" style="3" customWidth="1"/>
    <col min="13829" max="13829" width="17" style="3" customWidth="1"/>
    <col min="13830" max="13830" width="14.5703125" style="3" bestFit="1" customWidth="1"/>
    <col min="13831" max="13831" width="18.28515625" style="3" customWidth="1"/>
    <col min="13832" max="13832" width="19.42578125" style="3" customWidth="1"/>
    <col min="13833" max="13833" width="18.7109375" style="3" customWidth="1"/>
    <col min="13834" max="14081" width="9.140625" style="3"/>
    <col min="14082" max="14082" width="35.7109375" style="3" bestFit="1" customWidth="1"/>
    <col min="14083" max="14083" width="29" style="3" customWidth="1"/>
    <col min="14084" max="14084" width="7" style="3" customWidth="1"/>
    <col min="14085" max="14085" width="17" style="3" customWidth="1"/>
    <col min="14086" max="14086" width="14.5703125" style="3" bestFit="1" customWidth="1"/>
    <col min="14087" max="14087" width="18.28515625" style="3" customWidth="1"/>
    <col min="14088" max="14088" width="19.42578125" style="3" customWidth="1"/>
    <col min="14089" max="14089" width="18.7109375" style="3" customWidth="1"/>
    <col min="14090" max="14337" width="9.140625" style="3"/>
    <col min="14338" max="14338" width="35.7109375" style="3" bestFit="1" customWidth="1"/>
    <col min="14339" max="14339" width="29" style="3" customWidth="1"/>
    <col min="14340" max="14340" width="7" style="3" customWidth="1"/>
    <col min="14341" max="14341" width="17" style="3" customWidth="1"/>
    <col min="14342" max="14342" width="14.5703125" style="3" bestFit="1" customWidth="1"/>
    <col min="14343" max="14343" width="18.28515625" style="3" customWidth="1"/>
    <col min="14344" max="14344" width="19.42578125" style="3" customWidth="1"/>
    <col min="14345" max="14345" width="18.7109375" style="3" customWidth="1"/>
    <col min="14346" max="14593" width="9.140625" style="3"/>
    <col min="14594" max="14594" width="35.7109375" style="3" bestFit="1" customWidth="1"/>
    <col min="14595" max="14595" width="29" style="3" customWidth="1"/>
    <col min="14596" max="14596" width="7" style="3" customWidth="1"/>
    <col min="14597" max="14597" width="17" style="3" customWidth="1"/>
    <col min="14598" max="14598" width="14.5703125" style="3" bestFit="1" customWidth="1"/>
    <col min="14599" max="14599" width="18.28515625" style="3" customWidth="1"/>
    <col min="14600" max="14600" width="19.42578125" style="3" customWidth="1"/>
    <col min="14601" max="14601" width="18.7109375" style="3" customWidth="1"/>
    <col min="14602" max="14849" width="9.140625" style="3"/>
    <col min="14850" max="14850" width="35.7109375" style="3" bestFit="1" customWidth="1"/>
    <col min="14851" max="14851" width="29" style="3" customWidth="1"/>
    <col min="14852" max="14852" width="7" style="3" customWidth="1"/>
    <col min="14853" max="14853" width="17" style="3" customWidth="1"/>
    <col min="14854" max="14854" width="14.5703125" style="3" bestFit="1" customWidth="1"/>
    <col min="14855" max="14855" width="18.28515625" style="3" customWidth="1"/>
    <col min="14856" max="14856" width="19.42578125" style="3" customWidth="1"/>
    <col min="14857" max="14857" width="18.7109375" style="3" customWidth="1"/>
    <col min="14858" max="15105" width="9.140625" style="3"/>
    <col min="15106" max="15106" width="35.7109375" style="3" bestFit="1" customWidth="1"/>
    <col min="15107" max="15107" width="29" style="3" customWidth="1"/>
    <col min="15108" max="15108" width="7" style="3" customWidth="1"/>
    <col min="15109" max="15109" width="17" style="3" customWidth="1"/>
    <col min="15110" max="15110" width="14.5703125" style="3" bestFit="1" customWidth="1"/>
    <col min="15111" max="15111" width="18.28515625" style="3" customWidth="1"/>
    <col min="15112" max="15112" width="19.42578125" style="3" customWidth="1"/>
    <col min="15113" max="15113" width="18.7109375" style="3" customWidth="1"/>
    <col min="15114" max="15361" width="9.140625" style="3"/>
    <col min="15362" max="15362" width="35.7109375" style="3" bestFit="1" customWidth="1"/>
    <col min="15363" max="15363" width="29" style="3" customWidth="1"/>
    <col min="15364" max="15364" width="7" style="3" customWidth="1"/>
    <col min="15365" max="15365" width="17" style="3" customWidth="1"/>
    <col min="15366" max="15366" width="14.5703125" style="3" bestFit="1" customWidth="1"/>
    <col min="15367" max="15367" width="18.28515625" style="3" customWidth="1"/>
    <col min="15368" max="15368" width="19.42578125" style="3" customWidth="1"/>
    <col min="15369" max="15369" width="18.7109375" style="3" customWidth="1"/>
    <col min="15370" max="15617" width="9.140625" style="3"/>
    <col min="15618" max="15618" width="35.7109375" style="3" bestFit="1" customWidth="1"/>
    <col min="15619" max="15619" width="29" style="3" customWidth="1"/>
    <col min="15620" max="15620" width="7" style="3" customWidth="1"/>
    <col min="15621" max="15621" width="17" style="3" customWidth="1"/>
    <col min="15622" max="15622" width="14.5703125" style="3" bestFit="1" customWidth="1"/>
    <col min="15623" max="15623" width="18.28515625" style="3" customWidth="1"/>
    <col min="15624" max="15624" width="19.42578125" style="3" customWidth="1"/>
    <col min="15625" max="15625" width="18.7109375" style="3" customWidth="1"/>
    <col min="15626" max="15873" width="9.140625" style="3"/>
    <col min="15874" max="15874" width="35.7109375" style="3" bestFit="1" customWidth="1"/>
    <col min="15875" max="15875" width="29" style="3" customWidth="1"/>
    <col min="15876" max="15876" width="7" style="3" customWidth="1"/>
    <col min="15877" max="15877" width="17" style="3" customWidth="1"/>
    <col min="15878" max="15878" width="14.5703125" style="3" bestFit="1" customWidth="1"/>
    <col min="15879" max="15879" width="18.28515625" style="3" customWidth="1"/>
    <col min="15880" max="15880" width="19.42578125" style="3" customWidth="1"/>
    <col min="15881" max="15881" width="18.7109375" style="3" customWidth="1"/>
    <col min="15882" max="16129" width="9.140625" style="3"/>
    <col min="16130" max="16130" width="35.7109375" style="3" bestFit="1" customWidth="1"/>
    <col min="16131" max="16131" width="29" style="3" customWidth="1"/>
    <col min="16132" max="16132" width="7" style="3" customWidth="1"/>
    <col min="16133" max="16133" width="17" style="3" customWidth="1"/>
    <col min="16134" max="16134" width="14.5703125" style="3" bestFit="1" customWidth="1"/>
    <col min="16135" max="16135" width="18.28515625" style="3" customWidth="1"/>
    <col min="16136" max="16136" width="19.42578125" style="3" customWidth="1"/>
    <col min="16137" max="16137" width="18.7109375" style="3" customWidth="1"/>
    <col min="16138" max="16384" width="9.140625" style="3"/>
  </cols>
  <sheetData>
    <row r="1" spans="1:10" ht="60" x14ac:dyDescent="0.25">
      <c r="A1" s="71" t="s">
        <v>131</v>
      </c>
      <c r="B1" s="72" t="s">
        <v>125</v>
      </c>
      <c r="C1" s="32" t="s">
        <v>107</v>
      </c>
      <c r="D1" s="33" t="s">
        <v>105</v>
      </c>
      <c r="E1" s="32" t="s">
        <v>106</v>
      </c>
      <c r="F1" s="73" t="s">
        <v>138</v>
      </c>
      <c r="G1" s="74" t="s">
        <v>116</v>
      </c>
      <c r="H1" s="118" t="s">
        <v>140</v>
      </c>
    </row>
    <row r="2" spans="1:10" x14ac:dyDescent="0.25">
      <c r="A2" s="18" t="s">
        <v>51</v>
      </c>
      <c r="B2" s="18" t="str">
        <f>VLOOKUP(A2,'Calc Method Using % 2012 Gen'!$B$16:$D$66,3,FALSE)</f>
        <v>Alaska</v>
      </c>
      <c r="C2" s="18">
        <v>6946419.1200000001</v>
      </c>
      <c r="D2" s="19">
        <v>39957.990000000005</v>
      </c>
      <c r="E2" s="18">
        <v>5328757.6900000004</v>
      </c>
      <c r="F2" s="19">
        <f t="shared" ref="F2:F33" si="0">SUMIF($A$57:$A$66,A2,$G$57:$G$66)</f>
        <v>0</v>
      </c>
      <c r="G2" s="18">
        <f>E2-F2</f>
        <v>5328757.6900000004</v>
      </c>
      <c r="H2" s="119">
        <f>C2-F2</f>
        <v>6946419.1200000001</v>
      </c>
      <c r="I2" s="5"/>
      <c r="J2" s="5"/>
    </row>
    <row r="3" spans="1:10" x14ac:dyDescent="0.25">
      <c r="A3" s="6" t="s">
        <v>50</v>
      </c>
      <c r="B3" s="6" t="str">
        <f>VLOOKUP(A3,'Calc Method Using % 2012 Gen'!$B$16:$D$66,3,FALSE)</f>
        <v>Southeast</v>
      </c>
      <c r="C3" s="6">
        <v>152878687.69999999</v>
      </c>
      <c r="D3" s="20">
        <v>2776554</v>
      </c>
      <c r="E3" s="6">
        <v>101421503.38</v>
      </c>
      <c r="F3" s="20">
        <f t="shared" si="0"/>
        <v>0</v>
      </c>
      <c r="G3" s="6">
        <f t="shared" ref="G3:G52" si="1">E3-F3</f>
        <v>101421503.38</v>
      </c>
      <c r="H3" s="6">
        <f t="shared" ref="H3:H52" si="2">C3-F3</f>
        <v>152878687.69999999</v>
      </c>
      <c r="I3" s="5"/>
      <c r="J3" s="5"/>
    </row>
    <row r="4" spans="1:10" x14ac:dyDescent="0.25">
      <c r="A4" s="6" t="s">
        <v>49</v>
      </c>
      <c r="B4" s="6" t="str">
        <f>VLOOKUP(A4,'Calc Method Using % 2012 Gen'!$B$16:$D$66,3,FALSE)</f>
        <v>South Central</v>
      </c>
      <c r="C4" s="6">
        <v>65005677.969999999</v>
      </c>
      <c r="D4" s="20">
        <v>1660370.07</v>
      </c>
      <c r="E4" s="6">
        <v>45580902.450000003</v>
      </c>
      <c r="F4" s="20">
        <f t="shared" si="0"/>
        <v>0</v>
      </c>
      <c r="G4" s="6">
        <f t="shared" si="1"/>
        <v>45580902.450000003</v>
      </c>
      <c r="H4" s="6">
        <f t="shared" si="2"/>
        <v>65005677.969999999</v>
      </c>
      <c r="I4" s="5"/>
      <c r="J4" s="5"/>
    </row>
    <row r="5" spans="1:10" x14ac:dyDescent="0.25">
      <c r="A5" s="6" t="s">
        <v>48</v>
      </c>
      <c r="B5" s="6" t="str">
        <f>VLOOKUP(A5,'Calc Method Using % 2012 Gen'!$B$16:$D$66,3,FALSE)</f>
        <v>West</v>
      </c>
      <c r="C5" s="6">
        <v>110904993.59999999</v>
      </c>
      <c r="D5" s="20">
        <v>1697652.48</v>
      </c>
      <c r="E5" s="6">
        <v>70452587.109999999</v>
      </c>
      <c r="F5" s="20">
        <f t="shared" si="0"/>
        <v>15888068.423099998</v>
      </c>
      <c r="G5" s="6">
        <f t="shared" si="1"/>
        <v>54564518.686900005</v>
      </c>
      <c r="H5" s="6">
        <f>C5-F5</f>
        <v>95016925.176899999</v>
      </c>
      <c r="I5" s="5"/>
      <c r="J5" s="83"/>
    </row>
    <row r="6" spans="1:10" x14ac:dyDescent="0.25">
      <c r="A6" s="6" t="s">
        <v>47</v>
      </c>
      <c r="B6" s="6" t="str">
        <f>VLOOKUP(A6,'Calc Method Using % 2012 Gen'!$B$16:$D$66,3,FALSE)</f>
        <v>West</v>
      </c>
      <c r="C6" s="6">
        <v>199518566.71000001</v>
      </c>
      <c r="D6" s="20">
        <v>29966845.640000001</v>
      </c>
      <c r="E6" s="6">
        <v>121333234.60999998</v>
      </c>
      <c r="F6" s="20">
        <f t="shared" si="0"/>
        <v>0</v>
      </c>
      <c r="G6" s="6">
        <f t="shared" si="1"/>
        <v>121333234.60999998</v>
      </c>
      <c r="H6" s="6">
        <f t="shared" si="2"/>
        <v>199518566.71000001</v>
      </c>
      <c r="I6" s="5"/>
      <c r="J6" s="5"/>
    </row>
    <row r="7" spans="1:10" x14ac:dyDescent="0.25">
      <c r="A7" s="6" t="s">
        <v>46</v>
      </c>
      <c r="B7" s="6" t="str">
        <f>VLOOKUP(A7,'Calc Method Using % 2012 Gen'!$B$16:$D$66,3,FALSE)</f>
        <v>West</v>
      </c>
      <c r="C7" s="6">
        <v>52556701.109999999</v>
      </c>
      <c r="D7" s="20">
        <v>6192081.7999999998</v>
      </c>
      <c r="E7" s="6">
        <v>45056510.310000002</v>
      </c>
      <c r="F7" s="20">
        <f t="shared" si="0"/>
        <v>0</v>
      </c>
      <c r="G7" s="6">
        <f t="shared" si="1"/>
        <v>45056510.310000002</v>
      </c>
      <c r="H7" s="6">
        <f t="shared" si="2"/>
        <v>52556701.109999999</v>
      </c>
      <c r="I7" s="5"/>
      <c r="J7" s="5"/>
    </row>
    <row r="8" spans="1:10" x14ac:dyDescent="0.25">
      <c r="A8" s="6" t="s">
        <v>45</v>
      </c>
      <c r="B8" s="6" t="str">
        <f>VLOOKUP(A8,'Calc Method Using % 2012 Gen'!$B$16:$D$66,3,FALSE)</f>
        <v>Northeast</v>
      </c>
      <c r="C8" s="6">
        <v>36117543.950000003</v>
      </c>
      <c r="D8" s="20">
        <v>666524.91</v>
      </c>
      <c r="E8" s="6">
        <v>17301787.969999999</v>
      </c>
      <c r="F8" s="20">
        <f t="shared" si="0"/>
        <v>0</v>
      </c>
      <c r="G8" s="6">
        <f t="shared" si="1"/>
        <v>17301787.969999999</v>
      </c>
      <c r="H8" s="6">
        <f t="shared" si="2"/>
        <v>36117543.950000003</v>
      </c>
      <c r="I8" s="5"/>
      <c r="J8" s="5"/>
    </row>
    <row r="9" spans="1:10" x14ac:dyDescent="0.25">
      <c r="A9" s="6" t="s">
        <v>44</v>
      </c>
      <c r="B9" s="6" t="str">
        <f>VLOOKUP(A9,'Calc Method Using % 2012 Gen'!$B$16:$D$66,3,FALSE)</f>
        <v>East Central</v>
      </c>
      <c r="C9" s="6">
        <v>71786.78</v>
      </c>
      <c r="D9" s="20"/>
      <c r="E9" s="6" t="s">
        <v>139</v>
      </c>
      <c r="F9" s="20">
        <f t="shared" si="0"/>
        <v>0</v>
      </c>
      <c r="G9" s="6" t="s">
        <v>139</v>
      </c>
      <c r="H9" s="6">
        <f>C9-F9</f>
        <v>71786.78</v>
      </c>
      <c r="I9" s="5"/>
      <c r="J9" s="5"/>
    </row>
    <row r="10" spans="1:10" x14ac:dyDescent="0.25">
      <c r="A10" s="6" t="s">
        <v>43</v>
      </c>
      <c r="B10" s="6" t="str">
        <f>VLOOKUP(A10,'Calc Method Using % 2012 Gen'!$B$16:$D$66,3,FALSE)</f>
        <v>East Central</v>
      </c>
      <c r="C10" s="6">
        <v>8633694</v>
      </c>
      <c r="D10" s="20">
        <v>131050.62</v>
      </c>
      <c r="E10" s="6">
        <v>8259053.9500000011</v>
      </c>
      <c r="F10" s="20">
        <f t="shared" si="0"/>
        <v>0</v>
      </c>
      <c r="G10" s="6">
        <f t="shared" si="1"/>
        <v>8259053.9500000011</v>
      </c>
      <c r="H10" s="6">
        <f t="shared" si="2"/>
        <v>8633694</v>
      </c>
      <c r="I10" s="5"/>
      <c r="J10" s="5"/>
    </row>
    <row r="11" spans="1:10" x14ac:dyDescent="0.25">
      <c r="A11" s="6" t="s">
        <v>42</v>
      </c>
      <c r="B11" s="6" t="str">
        <f>VLOOKUP(A11,'Calc Method Using % 2012 Gen'!$B$16:$D$66,3,FALSE)</f>
        <v>Southeast</v>
      </c>
      <c r="C11" s="6">
        <v>221096135.98999998</v>
      </c>
      <c r="D11" s="20">
        <v>4523797.99</v>
      </c>
      <c r="E11" s="6">
        <v>195352057.94999999</v>
      </c>
      <c r="F11" s="20">
        <f t="shared" si="0"/>
        <v>0</v>
      </c>
      <c r="G11" s="6">
        <f t="shared" si="1"/>
        <v>195352057.94999999</v>
      </c>
      <c r="H11" s="6">
        <f t="shared" si="2"/>
        <v>221096135.98999998</v>
      </c>
      <c r="I11" s="5"/>
      <c r="J11" s="5"/>
    </row>
    <row r="12" spans="1:10" x14ac:dyDescent="0.25">
      <c r="A12" s="6" t="s">
        <v>41</v>
      </c>
      <c r="B12" s="6" t="str">
        <f>VLOOKUP(A12,'Calc Method Using % 2012 Gen'!$B$16:$D$66,3,FALSE)</f>
        <v>Southeast</v>
      </c>
      <c r="C12" s="6">
        <v>122306363.84999999</v>
      </c>
      <c r="D12" s="20">
        <v>3278536.21</v>
      </c>
      <c r="E12" s="6">
        <v>83631722.5</v>
      </c>
      <c r="F12" s="20">
        <f t="shared" si="0"/>
        <v>0</v>
      </c>
      <c r="G12" s="6">
        <f t="shared" si="1"/>
        <v>83631722.5</v>
      </c>
      <c r="H12" s="6">
        <f t="shared" si="2"/>
        <v>122306363.84999999</v>
      </c>
      <c r="I12" s="5"/>
      <c r="J12" s="5"/>
    </row>
    <row r="13" spans="1:10" x14ac:dyDescent="0.25">
      <c r="A13" s="6" t="s">
        <v>40</v>
      </c>
      <c r="B13" s="6" t="str">
        <f>VLOOKUP(A13,'Calc Method Using % 2012 Gen'!$B$16:$D$66,3,FALSE)</f>
        <v>Hawaii</v>
      </c>
      <c r="C13" s="6">
        <v>10469268.68</v>
      </c>
      <c r="D13" s="20">
        <v>924815.1</v>
      </c>
      <c r="E13" s="6">
        <v>9020100.6600000001</v>
      </c>
      <c r="F13" s="20">
        <f t="shared" si="0"/>
        <v>0</v>
      </c>
      <c r="G13" s="6">
        <f t="shared" si="1"/>
        <v>9020100.6600000001</v>
      </c>
      <c r="H13" s="6">
        <f t="shared" si="2"/>
        <v>10469268.68</v>
      </c>
      <c r="I13" s="5"/>
      <c r="J13" s="5"/>
    </row>
    <row r="14" spans="1:10" x14ac:dyDescent="0.25">
      <c r="A14" s="6" t="s">
        <v>39</v>
      </c>
      <c r="B14" s="6" t="str">
        <f>VLOOKUP(A14,'Calc Method Using % 2012 Gen'!$B$16:$D$66,3,FALSE)</f>
        <v>North Central</v>
      </c>
      <c r="C14" s="6">
        <v>56675403.920000002</v>
      </c>
      <c r="D14" s="20">
        <v>14183424.140000001</v>
      </c>
      <c r="E14" s="6">
        <v>37378793.780000001</v>
      </c>
      <c r="F14" s="20">
        <f t="shared" si="0"/>
        <v>0</v>
      </c>
      <c r="G14" s="6">
        <f t="shared" si="1"/>
        <v>37378793.780000001</v>
      </c>
      <c r="H14" s="6">
        <f t="shared" si="2"/>
        <v>56675403.920000002</v>
      </c>
      <c r="I14" s="5"/>
      <c r="J14" s="5"/>
    </row>
    <row r="15" spans="1:10" x14ac:dyDescent="0.25">
      <c r="A15" s="6" t="s">
        <v>38</v>
      </c>
      <c r="B15" s="6" t="str">
        <f>VLOOKUP(A15,'Calc Method Using % 2012 Gen'!$B$16:$D$66,3,FALSE)</f>
        <v>West</v>
      </c>
      <c r="C15" s="6">
        <v>15499089.310000001</v>
      </c>
      <c r="D15" s="20">
        <v>2514502.1700000004</v>
      </c>
      <c r="E15" s="6">
        <v>1974923.44</v>
      </c>
      <c r="F15" s="20">
        <f t="shared" si="0"/>
        <v>0</v>
      </c>
      <c r="G15" s="6">
        <f t="shared" si="1"/>
        <v>1974923.44</v>
      </c>
      <c r="H15" s="6">
        <f t="shared" si="2"/>
        <v>15499089.310000001</v>
      </c>
      <c r="I15" s="5"/>
      <c r="J15" s="5"/>
    </row>
    <row r="16" spans="1:10" x14ac:dyDescent="0.25">
      <c r="A16" s="6" t="s">
        <v>37</v>
      </c>
      <c r="B16" s="6" t="str">
        <f>VLOOKUP(A16,'Calc Method Using % 2012 Gen'!$B$16:$D$66,3,FALSE)</f>
        <v>North Central</v>
      </c>
      <c r="C16" s="6">
        <v>197565362.66999999</v>
      </c>
      <c r="D16" s="20">
        <v>8372659.9000000004</v>
      </c>
      <c r="E16" s="6">
        <v>92087134.61999999</v>
      </c>
      <c r="F16" s="20">
        <f t="shared" si="0"/>
        <v>0</v>
      </c>
      <c r="G16" s="6">
        <f t="shared" si="1"/>
        <v>92087134.61999999</v>
      </c>
      <c r="H16" s="6">
        <f t="shared" si="2"/>
        <v>197565362.66999999</v>
      </c>
      <c r="I16" s="5"/>
      <c r="J16" s="5"/>
    </row>
    <row r="17" spans="1:10" x14ac:dyDescent="0.25">
      <c r="A17" s="6" t="s">
        <v>36</v>
      </c>
      <c r="B17" s="6" t="str">
        <f>VLOOKUP(A17,'Calc Method Using % 2012 Gen'!$B$16:$D$66,3,FALSE)</f>
        <v>North Central</v>
      </c>
      <c r="C17" s="6">
        <v>114695729.28</v>
      </c>
      <c r="D17" s="20">
        <v>3546367.4000000004</v>
      </c>
      <c r="E17" s="6">
        <v>107877861.85000001</v>
      </c>
      <c r="F17" s="20">
        <f t="shared" si="0"/>
        <v>0</v>
      </c>
      <c r="G17" s="6">
        <f t="shared" si="1"/>
        <v>107877861.85000001</v>
      </c>
      <c r="H17" s="6">
        <f t="shared" si="2"/>
        <v>114695729.28</v>
      </c>
      <c r="I17" s="5"/>
      <c r="J17" s="5"/>
    </row>
    <row r="18" spans="1:10" x14ac:dyDescent="0.25">
      <c r="A18" s="6" t="s">
        <v>35</v>
      </c>
      <c r="B18" s="6" t="str">
        <f>VLOOKUP(A18,'Calc Method Using % 2012 Gen'!$B$16:$D$66,3,FALSE)</f>
        <v>South Central</v>
      </c>
      <c r="C18" s="6">
        <v>44424690.770000003</v>
      </c>
      <c r="D18" s="20">
        <v>5252653.3499999996</v>
      </c>
      <c r="E18" s="6">
        <v>30876714.420000002</v>
      </c>
      <c r="F18" s="20">
        <f t="shared" si="0"/>
        <v>0</v>
      </c>
      <c r="G18" s="6">
        <f t="shared" si="1"/>
        <v>30876714.420000002</v>
      </c>
      <c r="H18" s="6">
        <f t="shared" si="2"/>
        <v>44424690.770000003</v>
      </c>
      <c r="I18" s="5"/>
      <c r="J18" s="5"/>
    </row>
    <row r="19" spans="1:10" x14ac:dyDescent="0.25">
      <c r="A19" s="6" t="s">
        <v>34</v>
      </c>
      <c r="B19" s="6" t="str">
        <f>VLOOKUP(A19,'Calc Method Using % 2012 Gen'!$B$16:$D$66,3,FALSE)</f>
        <v>Southeast</v>
      </c>
      <c r="C19" s="6">
        <v>89949688.699999988</v>
      </c>
      <c r="D19" s="20">
        <v>332879.45</v>
      </c>
      <c r="E19" s="6">
        <v>87246951.979999989</v>
      </c>
      <c r="F19" s="20">
        <f t="shared" si="0"/>
        <v>0</v>
      </c>
      <c r="G19" s="6">
        <f t="shared" si="1"/>
        <v>87246951.979999989</v>
      </c>
      <c r="H19" s="6">
        <f t="shared" si="2"/>
        <v>89949688.699999988</v>
      </c>
      <c r="I19" s="5"/>
      <c r="J19" s="5"/>
    </row>
    <row r="20" spans="1:10" x14ac:dyDescent="0.25">
      <c r="A20" s="6" t="s">
        <v>33</v>
      </c>
      <c r="B20" s="6" t="str">
        <f>VLOOKUP(A20,'Calc Method Using % 2012 Gen'!$B$16:$D$66,3,FALSE)</f>
        <v>South Central</v>
      </c>
      <c r="C20" s="6">
        <v>103407705.81999999</v>
      </c>
      <c r="D20" s="20">
        <v>2430042.23</v>
      </c>
      <c r="E20" s="6">
        <v>83015472.090000004</v>
      </c>
      <c r="F20" s="20">
        <f t="shared" si="0"/>
        <v>0</v>
      </c>
      <c r="G20" s="6">
        <f t="shared" si="1"/>
        <v>83015472.090000004</v>
      </c>
      <c r="H20" s="6">
        <f t="shared" si="2"/>
        <v>103407705.81999999</v>
      </c>
      <c r="I20" s="5"/>
      <c r="J20" s="5"/>
    </row>
    <row r="21" spans="1:10" x14ac:dyDescent="0.25">
      <c r="A21" s="6" t="s">
        <v>32</v>
      </c>
      <c r="B21" s="6" t="str">
        <f>VLOOKUP(A21,'Calc Method Using % 2012 Gen'!$B$16:$D$66,3,FALSE)</f>
        <v>Northeast</v>
      </c>
      <c r="C21" s="6">
        <v>36198121.5</v>
      </c>
      <c r="D21" s="20">
        <v>1843418.9900000002</v>
      </c>
      <c r="E21" s="6">
        <v>26983796.460000001</v>
      </c>
      <c r="F21" s="20">
        <f t="shared" si="0"/>
        <v>0</v>
      </c>
      <c r="G21" s="6">
        <f t="shared" si="1"/>
        <v>26983796.460000001</v>
      </c>
      <c r="H21" s="6">
        <f t="shared" si="2"/>
        <v>36198121.5</v>
      </c>
      <c r="I21" s="5"/>
      <c r="J21" s="5"/>
    </row>
    <row r="22" spans="1:10" x14ac:dyDescent="0.25">
      <c r="A22" s="6" t="s">
        <v>31</v>
      </c>
      <c r="B22" s="6" t="str">
        <f>VLOOKUP(A22,'Calc Method Using % 2012 Gen'!$B$16:$D$66,3,FALSE)</f>
        <v>East Central</v>
      </c>
      <c r="C22" s="6">
        <v>37809743.549999997</v>
      </c>
      <c r="D22" s="20">
        <v>898152.46</v>
      </c>
      <c r="E22" s="6">
        <v>21266972.5</v>
      </c>
      <c r="F22" s="20">
        <f t="shared" si="0"/>
        <v>0</v>
      </c>
      <c r="G22" s="6">
        <f t="shared" si="1"/>
        <v>21266972.5</v>
      </c>
      <c r="H22" s="6">
        <f t="shared" si="2"/>
        <v>37809743.549999997</v>
      </c>
      <c r="I22" s="5"/>
      <c r="J22" s="5"/>
    </row>
    <row r="23" spans="1:10" x14ac:dyDescent="0.25">
      <c r="A23" s="6" t="s">
        <v>30</v>
      </c>
      <c r="B23" s="6" t="str">
        <f>VLOOKUP(A23,'Calc Method Using % 2012 Gen'!$B$16:$D$66,3,FALSE)</f>
        <v>Northeast</v>
      </c>
      <c r="C23" s="6">
        <v>14428595.910000002</v>
      </c>
      <c r="D23" s="20">
        <v>4098795.34</v>
      </c>
      <c r="E23" s="6">
        <v>6172718.3900000006</v>
      </c>
      <c r="F23" s="20">
        <f t="shared" si="0"/>
        <v>0</v>
      </c>
      <c r="G23" s="6">
        <f t="shared" si="1"/>
        <v>6172718.3900000006</v>
      </c>
      <c r="H23" s="6">
        <f t="shared" si="2"/>
        <v>14428595.910000002</v>
      </c>
      <c r="I23" s="5"/>
      <c r="J23" s="5"/>
    </row>
    <row r="24" spans="1:10" x14ac:dyDescent="0.25">
      <c r="A24" s="6" t="s">
        <v>29</v>
      </c>
      <c r="B24" s="6" t="str">
        <f>VLOOKUP(A24,'Calc Method Using % 2012 Gen'!$B$16:$D$66,3,FALSE)</f>
        <v>North Central</v>
      </c>
      <c r="C24" s="6">
        <v>108166077.69</v>
      </c>
      <c r="D24" s="20">
        <v>3785439.13</v>
      </c>
      <c r="E24" s="6">
        <v>75209932.569999993</v>
      </c>
      <c r="F24" s="20">
        <f t="shared" si="0"/>
        <v>0</v>
      </c>
      <c r="G24" s="6">
        <f t="shared" si="1"/>
        <v>75209932.569999993</v>
      </c>
      <c r="H24" s="6">
        <f t="shared" si="2"/>
        <v>108166077.69</v>
      </c>
      <c r="I24" s="5"/>
      <c r="J24" s="5"/>
    </row>
    <row r="25" spans="1:10" x14ac:dyDescent="0.25">
      <c r="A25" s="6" t="s">
        <v>28</v>
      </c>
      <c r="B25" s="6" t="str">
        <f>VLOOKUP(A25,'Calc Method Using % 2012 Gen'!$B$16:$D$66,3,FALSE)</f>
        <v>North Central</v>
      </c>
      <c r="C25" s="6">
        <v>52193624.18</v>
      </c>
      <c r="D25" s="20">
        <v>9453870.5099999998</v>
      </c>
      <c r="E25" s="6">
        <v>29840572.660000004</v>
      </c>
      <c r="F25" s="20">
        <f t="shared" si="0"/>
        <v>0</v>
      </c>
      <c r="G25" s="6">
        <f t="shared" si="1"/>
        <v>29840572.660000004</v>
      </c>
      <c r="H25" s="6">
        <f t="shared" si="2"/>
        <v>52193624.18</v>
      </c>
      <c r="I25" s="5"/>
      <c r="J25" s="5"/>
    </row>
    <row r="26" spans="1:10" x14ac:dyDescent="0.25">
      <c r="A26" s="6" t="s">
        <v>27</v>
      </c>
      <c r="B26" s="6" t="str">
        <f>VLOOKUP(A26,'Calc Method Using % 2012 Gen'!$B$16:$D$66,3,FALSE)</f>
        <v>North Central</v>
      </c>
      <c r="C26" s="6">
        <v>91804320.599999994</v>
      </c>
      <c r="D26" s="20">
        <v>1298578.8999999999</v>
      </c>
      <c r="E26" s="6">
        <v>79019935.739999995</v>
      </c>
      <c r="F26" s="20">
        <f t="shared" si="0"/>
        <v>0</v>
      </c>
      <c r="G26" s="6">
        <f t="shared" si="1"/>
        <v>79019935.739999995</v>
      </c>
      <c r="H26" s="6">
        <f t="shared" si="2"/>
        <v>91804320.599999994</v>
      </c>
      <c r="I26" s="5"/>
      <c r="J26" s="5"/>
    </row>
    <row r="27" spans="1:10" x14ac:dyDescent="0.25">
      <c r="A27" s="6" t="s">
        <v>26</v>
      </c>
      <c r="B27" s="6" t="str">
        <f>VLOOKUP(A27,'Calc Method Using % 2012 Gen'!$B$16:$D$66,3,FALSE)</f>
        <v>Southeast</v>
      </c>
      <c r="C27" s="6">
        <v>54584295.009999998</v>
      </c>
      <c r="D27" s="20">
        <v>1509189.94</v>
      </c>
      <c r="E27" s="6">
        <v>45778948.259999998</v>
      </c>
      <c r="F27" s="20">
        <f t="shared" si="0"/>
        <v>0</v>
      </c>
      <c r="G27" s="6">
        <f t="shared" si="1"/>
        <v>45778948.259999998</v>
      </c>
      <c r="H27" s="6">
        <f t="shared" si="2"/>
        <v>54584295.009999998</v>
      </c>
      <c r="I27" s="5"/>
      <c r="J27" s="5"/>
    </row>
    <row r="28" spans="1:10" x14ac:dyDescent="0.25">
      <c r="A28" s="6" t="s">
        <v>25</v>
      </c>
      <c r="B28" s="6" t="str">
        <f>VLOOKUP(A28,'Calc Method Using % 2012 Gen'!$B$16:$D$66,3,FALSE)</f>
        <v>West</v>
      </c>
      <c r="C28" s="6">
        <v>27804783.619999997</v>
      </c>
      <c r="D28" s="20">
        <v>1261752.22</v>
      </c>
      <c r="E28" s="6">
        <v>14918362.689999999</v>
      </c>
      <c r="F28" s="20">
        <f t="shared" si="0"/>
        <v>0</v>
      </c>
      <c r="G28" s="6">
        <f t="shared" si="1"/>
        <v>14918362.689999999</v>
      </c>
      <c r="H28" s="6">
        <f t="shared" si="2"/>
        <v>27804783.619999997</v>
      </c>
      <c r="I28" s="5"/>
      <c r="J28" s="5"/>
    </row>
    <row r="29" spans="1:10" x14ac:dyDescent="0.25">
      <c r="A29" s="6" t="s">
        <v>24</v>
      </c>
      <c r="B29" s="6" t="str">
        <f>VLOOKUP(A29,'Calc Method Using % 2012 Gen'!$B$16:$D$66,3,FALSE)</f>
        <v>Southeast</v>
      </c>
      <c r="C29" s="6">
        <v>116681763.11</v>
      </c>
      <c r="D29" s="20">
        <v>2703919.3200000003</v>
      </c>
      <c r="E29" s="6">
        <v>70412448.439999998</v>
      </c>
      <c r="F29" s="20">
        <f t="shared" si="0"/>
        <v>0</v>
      </c>
      <c r="G29" s="6">
        <f t="shared" si="1"/>
        <v>70412448.439999998</v>
      </c>
      <c r="H29" s="6">
        <f t="shared" si="2"/>
        <v>116681763.11</v>
      </c>
      <c r="I29" s="5"/>
      <c r="J29" s="5"/>
    </row>
    <row r="30" spans="1:10" x14ac:dyDescent="0.25">
      <c r="A30" s="6" t="s">
        <v>23</v>
      </c>
      <c r="B30" s="6" t="str">
        <f>VLOOKUP(A30,'Calc Method Using % 2012 Gen'!$B$16:$D$66,3,FALSE)</f>
        <v>North Central</v>
      </c>
      <c r="C30" s="6">
        <v>36125158.859999999</v>
      </c>
      <c r="D30" s="20">
        <v>5280052</v>
      </c>
      <c r="E30" s="6">
        <v>28269215.25</v>
      </c>
      <c r="F30" s="20">
        <f t="shared" si="0"/>
        <v>0</v>
      </c>
      <c r="G30" s="6">
        <f t="shared" si="1"/>
        <v>28269215.25</v>
      </c>
      <c r="H30" s="6">
        <f t="shared" si="2"/>
        <v>36125158.859999999</v>
      </c>
      <c r="I30" s="5"/>
      <c r="J30" s="5"/>
    </row>
    <row r="31" spans="1:10" x14ac:dyDescent="0.25">
      <c r="A31" s="6" t="s">
        <v>22</v>
      </c>
      <c r="B31" s="6" t="str">
        <f>VLOOKUP(A31,'Calc Method Using % 2012 Gen'!$B$16:$D$66,3,FALSE)</f>
        <v>South Central</v>
      </c>
      <c r="C31" s="6">
        <v>34217292.579999998</v>
      </c>
      <c r="D31" s="20">
        <v>1346761.78</v>
      </c>
      <c r="E31" s="6">
        <v>25811898.800000001</v>
      </c>
      <c r="F31" s="20">
        <f t="shared" si="0"/>
        <v>0</v>
      </c>
      <c r="G31" s="6">
        <f t="shared" si="1"/>
        <v>25811898.800000001</v>
      </c>
      <c r="H31" s="6">
        <f t="shared" si="2"/>
        <v>34217292.579999998</v>
      </c>
      <c r="I31" s="5"/>
      <c r="J31" s="5"/>
    </row>
    <row r="32" spans="1:10" x14ac:dyDescent="0.25">
      <c r="A32" s="6" t="s">
        <v>21</v>
      </c>
      <c r="B32" s="6" t="str">
        <f>VLOOKUP(A32,'Calc Method Using % 2012 Gen'!$B$16:$D$66,3,FALSE)</f>
        <v>Northeast</v>
      </c>
      <c r="C32" s="6">
        <v>19264434.91</v>
      </c>
      <c r="D32" s="20">
        <v>1381285.06</v>
      </c>
      <c r="E32" s="6">
        <v>8339070.7000000002</v>
      </c>
      <c r="F32" s="20">
        <f t="shared" si="0"/>
        <v>0</v>
      </c>
      <c r="G32" s="6">
        <f t="shared" si="1"/>
        <v>8339070.7000000002</v>
      </c>
      <c r="H32" s="6">
        <f t="shared" si="2"/>
        <v>19264434.91</v>
      </c>
      <c r="I32" s="5"/>
      <c r="J32" s="5"/>
    </row>
    <row r="33" spans="1:10" x14ac:dyDescent="0.25">
      <c r="A33" s="6" t="s">
        <v>20</v>
      </c>
      <c r="B33" s="6" t="str">
        <f>VLOOKUP(A33,'Calc Method Using % 2012 Gen'!$B$16:$D$66,3,FALSE)</f>
        <v>East Central</v>
      </c>
      <c r="C33" s="6">
        <v>65263407.949999996</v>
      </c>
      <c r="D33" s="20">
        <v>1280714.6399999999</v>
      </c>
      <c r="E33" s="6">
        <v>30253158.839999996</v>
      </c>
      <c r="F33" s="20">
        <f t="shared" si="0"/>
        <v>0</v>
      </c>
      <c r="G33" s="6">
        <f t="shared" si="1"/>
        <v>30253158.839999996</v>
      </c>
      <c r="H33" s="6">
        <f t="shared" si="2"/>
        <v>65263407.949999996</v>
      </c>
      <c r="I33" s="5"/>
      <c r="J33" s="5"/>
    </row>
    <row r="34" spans="1:10" x14ac:dyDescent="0.25">
      <c r="A34" s="6" t="s">
        <v>19</v>
      </c>
      <c r="B34" s="6" t="str">
        <f>VLOOKUP(A34,'Calc Method Using % 2012 Gen'!$B$16:$D$66,3,FALSE)</f>
        <v>West</v>
      </c>
      <c r="C34" s="6">
        <v>36635909.450000003</v>
      </c>
      <c r="D34" s="20">
        <v>2573851.31</v>
      </c>
      <c r="E34" s="6">
        <v>33839239.140000001</v>
      </c>
      <c r="F34" s="20">
        <f t="shared" ref="F34:F52" si="3">SUMIF($A$57:$A$66,A34,$G$57:$G$66)</f>
        <v>13741385.1689</v>
      </c>
      <c r="G34" s="6">
        <f t="shared" si="1"/>
        <v>20097853.971100003</v>
      </c>
      <c r="H34" s="6">
        <f t="shared" si="2"/>
        <v>22894524.281100005</v>
      </c>
      <c r="I34" s="84"/>
      <c r="J34" s="83"/>
    </row>
    <row r="35" spans="1:10" x14ac:dyDescent="0.25">
      <c r="A35" s="6" t="s">
        <v>18</v>
      </c>
      <c r="B35" s="6" t="str">
        <f>VLOOKUP(A35,'Calc Method Using % 2012 Gen'!$B$16:$D$66,3,FALSE)</f>
        <v>West</v>
      </c>
      <c r="C35" s="6">
        <v>35173263.200000003</v>
      </c>
      <c r="D35" s="20">
        <v>2968630.3499999996</v>
      </c>
      <c r="E35" s="6">
        <v>29744964.609999999</v>
      </c>
      <c r="F35" s="20">
        <f t="shared" si="3"/>
        <v>0</v>
      </c>
      <c r="G35" s="6">
        <f t="shared" si="1"/>
        <v>29744964.609999999</v>
      </c>
      <c r="H35" s="6">
        <f t="shared" si="2"/>
        <v>35173263.200000003</v>
      </c>
      <c r="I35" s="5"/>
      <c r="J35" s="5"/>
    </row>
    <row r="36" spans="1:10" x14ac:dyDescent="0.25">
      <c r="A36" s="6" t="s">
        <v>17</v>
      </c>
      <c r="B36" s="6" t="str">
        <f>VLOOKUP(A36,'Calc Method Using % 2012 Gen'!$B$16:$D$66,3,FALSE)</f>
        <v>Northeast</v>
      </c>
      <c r="C36" s="6">
        <v>135768251.06</v>
      </c>
      <c r="D36" s="20">
        <v>5192427.4399999995</v>
      </c>
      <c r="E36" s="6">
        <v>64593579.779999994</v>
      </c>
      <c r="F36" s="20">
        <f t="shared" si="3"/>
        <v>0</v>
      </c>
      <c r="G36" s="6">
        <f t="shared" si="1"/>
        <v>64593579.779999994</v>
      </c>
      <c r="H36" s="6">
        <f t="shared" si="2"/>
        <v>135768251.06</v>
      </c>
      <c r="I36" s="5"/>
      <c r="J36" s="5"/>
    </row>
    <row r="37" spans="1:10" x14ac:dyDescent="0.25">
      <c r="A37" s="6" t="s">
        <v>16</v>
      </c>
      <c r="B37" s="6" t="str">
        <f>VLOOKUP(A37,'Calc Method Using % 2012 Gen'!$B$16:$D$66,3,FALSE)</f>
        <v>East Central</v>
      </c>
      <c r="C37" s="6">
        <v>129745730.61000001</v>
      </c>
      <c r="D37" s="20">
        <v>1738621.75</v>
      </c>
      <c r="E37" s="6">
        <v>109535152.91000001</v>
      </c>
      <c r="F37" s="20">
        <f t="shared" si="3"/>
        <v>0</v>
      </c>
      <c r="G37" s="6">
        <f t="shared" si="1"/>
        <v>109535152.91000001</v>
      </c>
      <c r="H37" s="6">
        <f t="shared" si="2"/>
        <v>129745730.61000001</v>
      </c>
      <c r="I37" s="5"/>
      <c r="J37" s="5"/>
    </row>
    <row r="38" spans="1:10" x14ac:dyDescent="0.25">
      <c r="A38" s="6" t="s">
        <v>15</v>
      </c>
      <c r="B38" s="6" t="str">
        <f>VLOOKUP(A38,'Calc Method Using % 2012 Gen'!$B$16:$D$66,3,FALSE)</f>
        <v>South Central</v>
      </c>
      <c r="C38" s="6">
        <v>77896588.129999995</v>
      </c>
      <c r="D38" s="20">
        <v>8520724.0499999989</v>
      </c>
      <c r="E38" s="6">
        <v>68337001.870000005</v>
      </c>
      <c r="F38" s="20">
        <f t="shared" si="3"/>
        <v>0</v>
      </c>
      <c r="G38" s="6">
        <f t="shared" si="1"/>
        <v>68337001.870000005</v>
      </c>
      <c r="H38" s="6">
        <f t="shared" si="2"/>
        <v>77896588.129999995</v>
      </c>
      <c r="I38" s="5"/>
      <c r="J38" s="5"/>
    </row>
    <row r="39" spans="1:10" x14ac:dyDescent="0.25">
      <c r="A39" s="6" t="s">
        <v>14</v>
      </c>
      <c r="B39" s="6" t="str">
        <f>VLOOKUP(A39,'Calc Method Using % 2012 Gen'!$B$16:$D$66,3,FALSE)</f>
        <v>West</v>
      </c>
      <c r="C39" s="6">
        <v>60932714.530000001</v>
      </c>
      <c r="D39" s="20">
        <v>7207229.3700000001</v>
      </c>
      <c r="E39" s="6">
        <v>14264947.800000001</v>
      </c>
      <c r="F39" s="20">
        <f t="shared" si="3"/>
        <v>0</v>
      </c>
      <c r="G39" s="6">
        <f t="shared" si="1"/>
        <v>14264947.800000001</v>
      </c>
      <c r="H39" s="6">
        <f t="shared" si="2"/>
        <v>60932714.530000001</v>
      </c>
      <c r="I39" s="5"/>
      <c r="J39" s="5"/>
    </row>
    <row r="40" spans="1:10" x14ac:dyDescent="0.25">
      <c r="A40" s="6" t="s">
        <v>13</v>
      </c>
      <c r="B40" s="6" t="str">
        <f>VLOOKUP(A40,'Calc Method Using % 2012 Gen'!$B$16:$D$66,3,FALSE)</f>
        <v>East Central</v>
      </c>
      <c r="C40" s="6">
        <v>223419715.48000002</v>
      </c>
      <c r="D40" s="20">
        <v>4459117.6100000003</v>
      </c>
      <c r="E40" s="6">
        <v>140493797.64000002</v>
      </c>
      <c r="F40" s="20">
        <f t="shared" si="3"/>
        <v>0</v>
      </c>
      <c r="G40" s="6">
        <f t="shared" si="1"/>
        <v>140493797.64000002</v>
      </c>
      <c r="H40" s="6">
        <f t="shared" si="2"/>
        <v>223419715.48000002</v>
      </c>
      <c r="I40" s="5"/>
      <c r="J40" s="5"/>
    </row>
    <row r="41" spans="1:10" x14ac:dyDescent="0.25">
      <c r="A41" s="6" t="s">
        <v>12</v>
      </c>
      <c r="B41" s="6" t="str">
        <f>VLOOKUP(A41,'Calc Method Using % 2012 Gen'!$B$16:$D$66,3,FALSE)</f>
        <v>Northeast</v>
      </c>
      <c r="C41" s="6">
        <v>8309035.8300000001</v>
      </c>
      <c r="D41" s="20">
        <v>101895</v>
      </c>
      <c r="E41" s="6">
        <v>8202874.8300000001</v>
      </c>
      <c r="F41" s="20">
        <f t="shared" si="3"/>
        <v>0</v>
      </c>
      <c r="G41" s="6">
        <f t="shared" si="1"/>
        <v>8202874.8300000001</v>
      </c>
      <c r="H41" s="6">
        <f t="shared" si="2"/>
        <v>8309035.8300000001</v>
      </c>
      <c r="I41" s="5"/>
      <c r="J41" s="5"/>
    </row>
    <row r="42" spans="1:10" x14ac:dyDescent="0.25">
      <c r="A42" s="6" t="s">
        <v>11</v>
      </c>
      <c r="B42" s="6" t="str">
        <f>VLOOKUP(A42,'Calc Method Using % 2012 Gen'!$B$16:$D$66,3,FALSE)</f>
        <v>Southeast</v>
      </c>
      <c r="C42" s="6">
        <v>96755681.879999995</v>
      </c>
      <c r="D42" s="20">
        <v>2143472.62</v>
      </c>
      <c r="E42" s="6">
        <v>42836422.670000002</v>
      </c>
      <c r="F42" s="20">
        <f t="shared" si="3"/>
        <v>0</v>
      </c>
      <c r="G42" s="6">
        <f t="shared" si="1"/>
        <v>42836422.670000002</v>
      </c>
      <c r="H42" s="6">
        <f t="shared" si="2"/>
        <v>96755681.879999995</v>
      </c>
      <c r="I42" s="5"/>
      <c r="J42" s="5"/>
    </row>
    <row r="43" spans="1:10" x14ac:dyDescent="0.25">
      <c r="A43" s="6" t="s">
        <v>10</v>
      </c>
      <c r="B43" s="6" t="str">
        <f>VLOOKUP(A43,'Calc Method Using % 2012 Gen'!$B$16:$D$66,3,FALSE)</f>
        <v>North Central</v>
      </c>
      <c r="C43" s="6">
        <v>12034206</v>
      </c>
      <c r="D43" s="20">
        <v>2914666</v>
      </c>
      <c r="E43" s="6">
        <v>3138575</v>
      </c>
      <c r="F43" s="20">
        <f t="shared" si="3"/>
        <v>0</v>
      </c>
      <c r="G43" s="6">
        <f t="shared" si="1"/>
        <v>3138575</v>
      </c>
      <c r="H43" s="6">
        <f t="shared" si="2"/>
        <v>12034206</v>
      </c>
      <c r="I43" s="5"/>
      <c r="J43" s="5"/>
    </row>
    <row r="44" spans="1:10" x14ac:dyDescent="0.25">
      <c r="A44" s="6" t="s">
        <v>9</v>
      </c>
      <c r="B44" s="6" t="str">
        <f>VLOOKUP(A44,'Calc Method Using % 2012 Gen'!$B$16:$D$66,3,FALSE)</f>
        <v>Southeast</v>
      </c>
      <c r="C44" s="6">
        <v>77724263.800000012</v>
      </c>
      <c r="D44" s="20">
        <v>836457.85</v>
      </c>
      <c r="E44" s="6">
        <v>43638948.439999998</v>
      </c>
      <c r="F44" s="20">
        <f t="shared" si="3"/>
        <v>0</v>
      </c>
      <c r="G44" s="6">
        <f t="shared" si="1"/>
        <v>43638948.439999998</v>
      </c>
      <c r="H44" s="6">
        <f t="shared" si="2"/>
        <v>77724263.800000012</v>
      </c>
      <c r="I44" s="5"/>
      <c r="J44" s="5"/>
    </row>
    <row r="45" spans="1:10" x14ac:dyDescent="0.25">
      <c r="A45" s="6" t="s">
        <v>8</v>
      </c>
      <c r="B45" s="6" t="str">
        <f>VLOOKUP(A45,'Calc Method Using % 2012 Gen'!$B$16:$D$66,3,FALSE)</f>
        <v>South Central</v>
      </c>
      <c r="C45" s="6">
        <v>429812509.78999996</v>
      </c>
      <c r="D45" s="20">
        <v>34016696.530000001</v>
      </c>
      <c r="E45" s="6">
        <v>353473708.84000003</v>
      </c>
      <c r="F45" s="20">
        <f t="shared" si="3"/>
        <v>0</v>
      </c>
      <c r="G45" s="6">
        <f t="shared" si="1"/>
        <v>353473708.84000003</v>
      </c>
      <c r="H45" s="6">
        <f t="shared" si="2"/>
        <v>429812509.78999996</v>
      </c>
      <c r="I45" s="5"/>
      <c r="J45" s="5"/>
    </row>
    <row r="46" spans="1:10" x14ac:dyDescent="0.25">
      <c r="A46" s="6" t="s">
        <v>7</v>
      </c>
      <c r="B46" s="6" t="str">
        <f>VLOOKUP(A46,'Calc Method Using % 2012 Gen'!$B$16:$D$66,3,FALSE)</f>
        <v>West</v>
      </c>
      <c r="C46" s="6">
        <v>39402960.739999995</v>
      </c>
      <c r="D46" s="20">
        <v>1099723.94</v>
      </c>
      <c r="E46" s="6">
        <v>37418511.25</v>
      </c>
      <c r="F46" s="20">
        <f>SUMIF($A$57:$A$66,A46,$G$57:$G$66)</f>
        <v>3090433.0449999999</v>
      </c>
      <c r="G46" s="6">
        <f t="shared" si="1"/>
        <v>34328078.204999998</v>
      </c>
      <c r="H46" s="6">
        <f t="shared" si="2"/>
        <v>36312527.694999993</v>
      </c>
      <c r="I46" s="5"/>
      <c r="J46" s="83"/>
    </row>
    <row r="47" spans="1:10" x14ac:dyDescent="0.25">
      <c r="A47" s="6" t="s">
        <v>6</v>
      </c>
      <c r="B47" s="6" t="str">
        <f>VLOOKUP(A47,'Calc Method Using % 2012 Gen'!$B$16:$D$66,3,FALSE)</f>
        <v>East Central</v>
      </c>
      <c r="C47" s="6">
        <v>70739234.939999998</v>
      </c>
      <c r="D47" s="20">
        <v>2358443.6</v>
      </c>
      <c r="E47" s="6">
        <v>39582511.909999996</v>
      </c>
      <c r="F47" s="20">
        <f t="shared" si="3"/>
        <v>0</v>
      </c>
      <c r="G47" s="6">
        <f t="shared" si="1"/>
        <v>39582511.909999996</v>
      </c>
      <c r="H47" s="6">
        <f t="shared" si="2"/>
        <v>70739234.939999998</v>
      </c>
      <c r="I47" s="5"/>
      <c r="J47" s="5"/>
    </row>
    <row r="48" spans="1:10" x14ac:dyDescent="0.25">
      <c r="A48" s="6" t="s">
        <v>5</v>
      </c>
      <c r="B48" s="6" t="str">
        <f>VLOOKUP(A48,'Calc Method Using % 2012 Gen'!$B$16:$D$66,3,FALSE)</f>
        <v>Northeast</v>
      </c>
      <c r="C48" s="6">
        <v>6569670.1099999994</v>
      </c>
      <c r="D48" s="20">
        <v>465168.58999999997</v>
      </c>
      <c r="E48" s="6">
        <v>5958.52</v>
      </c>
      <c r="F48" s="20">
        <f t="shared" si="3"/>
        <v>0</v>
      </c>
      <c r="G48" s="6">
        <f t="shared" si="1"/>
        <v>5958.52</v>
      </c>
      <c r="H48" s="6">
        <f t="shared" si="2"/>
        <v>6569670.1099999994</v>
      </c>
      <c r="I48" s="83"/>
      <c r="J48" s="5"/>
    </row>
    <row r="49" spans="1:10" x14ac:dyDescent="0.25">
      <c r="A49" s="6" t="s">
        <v>4</v>
      </c>
      <c r="B49" s="6" t="str">
        <f>VLOOKUP(A49,'Calc Method Using % 2012 Gen'!$B$16:$D$66,3,FALSE)</f>
        <v>West</v>
      </c>
      <c r="C49" s="6">
        <v>116835473.56</v>
      </c>
      <c r="D49" s="20">
        <v>8214350.1699999999</v>
      </c>
      <c r="E49" s="6">
        <v>9227262.1699999999</v>
      </c>
      <c r="F49" s="20">
        <f t="shared" si="3"/>
        <v>0</v>
      </c>
      <c r="G49" s="6">
        <f t="shared" si="1"/>
        <v>9227262.1699999999</v>
      </c>
      <c r="H49" s="6">
        <f t="shared" si="2"/>
        <v>116835473.56</v>
      </c>
      <c r="I49" s="5"/>
      <c r="J49" s="5"/>
    </row>
    <row r="50" spans="1:10" x14ac:dyDescent="0.25">
      <c r="A50" s="6" t="s">
        <v>3</v>
      </c>
      <c r="B50" s="6" t="str">
        <f>VLOOKUP(A50,'Calc Method Using % 2012 Gen'!$B$16:$D$66,3,FALSE)</f>
        <v>North Central</v>
      </c>
      <c r="C50" s="6">
        <v>63742909.880000003</v>
      </c>
      <c r="D50" s="20">
        <v>3223177.8900000006</v>
      </c>
      <c r="E50" s="6">
        <v>44618009.5</v>
      </c>
      <c r="F50" s="20">
        <f t="shared" si="3"/>
        <v>0</v>
      </c>
      <c r="G50" s="6">
        <f t="shared" si="1"/>
        <v>44618009.5</v>
      </c>
      <c r="H50" s="6">
        <f t="shared" si="2"/>
        <v>63742909.880000003</v>
      </c>
      <c r="I50" s="5"/>
      <c r="J50" s="5"/>
    </row>
    <row r="51" spans="1:10" x14ac:dyDescent="0.25">
      <c r="A51" s="6" t="s">
        <v>2</v>
      </c>
      <c r="B51" s="6" t="str">
        <f>VLOOKUP(A51,'Calc Method Using % 2012 Gen'!$B$16:$D$66,3,FALSE)</f>
        <v>East Central</v>
      </c>
      <c r="C51" s="6">
        <v>73413404.700000003</v>
      </c>
      <c r="D51" s="20">
        <v>1296562.95</v>
      </c>
      <c r="E51" s="6">
        <v>70653771.129999995</v>
      </c>
      <c r="F51" s="20">
        <f t="shared" si="3"/>
        <v>0</v>
      </c>
      <c r="G51" s="6">
        <f t="shared" si="1"/>
        <v>70653771.129999995</v>
      </c>
      <c r="H51" s="6">
        <f t="shared" si="2"/>
        <v>73413404.700000003</v>
      </c>
      <c r="I51" s="5"/>
      <c r="J51" s="5"/>
    </row>
    <row r="52" spans="1:10" x14ac:dyDescent="0.25">
      <c r="A52" s="21" t="s">
        <v>1</v>
      </c>
      <c r="B52" s="21" t="str">
        <f>VLOOKUP(A52,'Calc Method Using % 2012 Gen'!$B$16:$D$66,3,FALSE)</f>
        <v>West</v>
      </c>
      <c r="C52" s="21">
        <v>49588606.220000006</v>
      </c>
      <c r="D52" s="22">
        <v>4369107</v>
      </c>
      <c r="E52" s="21">
        <v>43976534.560000002</v>
      </c>
      <c r="F52" s="22">
        <f t="shared" si="3"/>
        <v>0</v>
      </c>
      <c r="G52" s="21">
        <f t="shared" si="1"/>
        <v>43976534.560000002</v>
      </c>
      <c r="H52" s="21">
        <f t="shared" si="2"/>
        <v>49588606.220000006</v>
      </c>
      <c r="I52" s="5"/>
      <c r="J52" s="5"/>
    </row>
    <row r="53" spans="1:10" s="16" customFormat="1" x14ac:dyDescent="0.25">
      <c r="A53" s="15" t="s">
        <v>0</v>
      </c>
      <c r="B53" s="15"/>
      <c r="C53" s="15">
        <f t="shared" ref="C53:H53" si="4">SUM(C2:C52)</f>
        <v>4047765259.3099995</v>
      </c>
      <c r="D53" s="23">
        <f t="shared" si="4"/>
        <v>218332969.75999999</v>
      </c>
      <c r="E53" s="15">
        <f t="shared" si="4"/>
        <v>2763054874.6300006</v>
      </c>
      <c r="F53" s="15">
        <f>SUM(F2:F52)</f>
        <v>32719886.637000002</v>
      </c>
      <c r="G53" s="15">
        <f t="shared" si="4"/>
        <v>2730334987.9930005</v>
      </c>
      <c r="H53" s="15">
        <f t="shared" si="4"/>
        <v>4015045372.6729994</v>
      </c>
      <c r="I53" s="5"/>
      <c r="J53" s="5"/>
    </row>
    <row r="54" spans="1:10" x14ac:dyDescent="0.25">
      <c r="A54" s="2"/>
      <c r="B54" s="2"/>
      <c r="D54" s="4"/>
      <c r="E54" s="3"/>
      <c r="H54" s="16"/>
    </row>
    <row r="55" spans="1:10" x14ac:dyDescent="0.25">
      <c r="A55" s="53" t="s">
        <v>133</v>
      </c>
      <c r="B55" s="2"/>
      <c r="D55" s="4"/>
      <c r="E55" s="3"/>
      <c r="H55" s="3"/>
    </row>
    <row r="56" spans="1:10" x14ac:dyDescent="0.25">
      <c r="A56" s="55" t="s">
        <v>109</v>
      </c>
      <c r="B56" s="55"/>
      <c r="C56" s="50"/>
      <c r="D56" s="51"/>
      <c r="E56" s="51"/>
      <c r="F56" s="51"/>
      <c r="G56" s="54" t="s">
        <v>110</v>
      </c>
      <c r="H56" s="120"/>
    </row>
    <row r="57" spans="1:10" x14ac:dyDescent="0.25">
      <c r="A57" s="55" t="s">
        <v>19</v>
      </c>
      <c r="B57" s="17" t="s">
        <v>111</v>
      </c>
      <c r="C57" s="50"/>
      <c r="D57" s="51"/>
      <c r="E57" s="51"/>
      <c r="F57" s="52"/>
      <c r="G57" s="54">
        <v>1150362.6991999999</v>
      </c>
      <c r="H57" s="78"/>
    </row>
    <row r="58" spans="1:10" x14ac:dyDescent="0.25">
      <c r="A58" s="55" t="s">
        <v>19</v>
      </c>
      <c r="B58" s="17" t="s">
        <v>111</v>
      </c>
      <c r="C58" s="50"/>
      <c r="D58" s="51"/>
      <c r="E58" s="51"/>
      <c r="F58" s="52"/>
      <c r="G58" s="54">
        <v>1150362.6991999999</v>
      </c>
    </row>
    <row r="59" spans="1:10" x14ac:dyDescent="0.25">
      <c r="A59" s="55" t="s">
        <v>19</v>
      </c>
      <c r="B59" s="17" t="s">
        <v>111</v>
      </c>
      <c r="C59" s="50"/>
      <c r="D59" s="51"/>
      <c r="E59" s="51"/>
      <c r="F59" s="52"/>
      <c r="G59" s="54">
        <v>1534220.5682999999</v>
      </c>
    </row>
    <row r="60" spans="1:10" x14ac:dyDescent="0.25">
      <c r="A60" s="55" t="s">
        <v>19</v>
      </c>
      <c r="B60" s="17" t="s">
        <v>111</v>
      </c>
      <c r="C60" s="50"/>
      <c r="D60" s="51"/>
      <c r="E60" s="51"/>
      <c r="F60" s="52"/>
      <c r="G60" s="54">
        <v>4953219.6010999996</v>
      </c>
    </row>
    <row r="61" spans="1:10" s="2" customFormat="1" x14ac:dyDescent="0.25">
      <c r="A61" s="55" t="s">
        <v>19</v>
      </c>
      <c r="B61" s="17" t="s">
        <v>111</v>
      </c>
      <c r="C61" s="50"/>
      <c r="D61" s="51"/>
      <c r="E61" s="51"/>
      <c r="F61" s="51"/>
      <c r="G61" s="54">
        <v>4953219.6010999996</v>
      </c>
      <c r="I61" s="3"/>
    </row>
    <row r="62" spans="1:10" s="2" customFormat="1" x14ac:dyDescent="0.25">
      <c r="A62" s="55" t="s">
        <v>48</v>
      </c>
      <c r="B62" s="17" t="s">
        <v>108</v>
      </c>
      <c r="C62" s="50"/>
      <c r="D62" s="51"/>
      <c r="E62" s="51"/>
      <c r="F62" s="51"/>
      <c r="G62" s="54">
        <v>5296022.8076999998</v>
      </c>
      <c r="I62" s="3"/>
    </row>
    <row r="63" spans="1:10" s="2" customFormat="1" x14ac:dyDescent="0.25">
      <c r="A63" s="55" t="s">
        <v>48</v>
      </c>
      <c r="B63" s="17" t="s">
        <v>108</v>
      </c>
      <c r="C63" s="50"/>
      <c r="D63" s="51"/>
      <c r="E63" s="51"/>
      <c r="F63" s="51"/>
      <c r="G63" s="54">
        <v>5296022.8076999998</v>
      </c>
      <c r="I63" s="3"/>
    </row>
    <row r="64" spans="1:10" s="2" customFormat="1" x14ac:dyDescent="0.25">
      <c r="A64" s="55" t="s">
        <v>48</v>
      </c>
      <c r="B64" s="17" t="s">
        <v>108</v>
      </c>
      <c r="C64" s="50"/>
      <c r="D64" s="51"/>
      <c r="E64" s="51"/>
      <c r="F64" s="51"/>
      <c r="G64" s="54">
        <v>5296022.8076999998</v>
      </c>
      <c r="I64" s="3"/>
    </row>
    <row r="65" spans="1:9" s="2" customFormat="1" x14ac:dyDescent="0.25">
      <c r="A65" s="55" t="s">
        <v>7</v>
      </c>
      <c r="B65" s="17" t="s">
        <v>112</v>
      </c>
      <c r="C65" s="50"/>
      <c r="D65" s="51"/>
      <c r="E65" s="51"/>
      <c r="F65" s="51"/>
      <c r="G65" s="54">
        <v>2532684.6694</v>
      </c>
      <c r="I65" s="3"/>
    </row>
    <row r="66" spans="1:9" s="2" customFormat="1" x14ac:dyDescent="0.25">
      <c r="A66" s="55" t="s">
        <v>7</v>
      </c>
      <c r="B66" s="17" t="s">
        <v>112</v>
      </c>
      <c r="C66" s="50"/>
      <c r="D66" s="51"/>
      <c r="E66" s="51"/>
      <c r="F66" s="51"/>
      <c r="G66" s="54">
        <v>557748.37560000003</v>
      </c>
      <c r="I66" s="3"/>
    </row>
    <row r="67" spans="1:9" s="2" customFormat="1" x14ac:dyDescent="0.25">
      <c r="A67" s="3"/>
      <c r="G67" s="5"/>
      <c r="I67" s="3"/>
    </row>
    <row r="68" spans="1:9" x14ac:dyDescent="0.25">
      <c r="A68" s="16" t="s">
        <v>143</v>
      </c>
      <c r="G68" s="5"/>
    </row>
    <row r="69" spans="1:9" x14ac:dyDescent="0.25">
      <c r="A69" s="3" t="s">
        <v>141</v>
      </c>
      <c r="B69" s="3" t="s">
        <v>64</v>
      </c>
      <c r="C69" s="2" t="s">
        <v>53</v>
      </c>
    </row>
    <row r="70" spans="1:9" x14ac:dyDescent="0.25">
      <c r="A70" s="17">
        <v>2002</v>
      </c>
      <c r="B70" s="97">
        <v>370918</v>
      </c>
      <c r="C70" s="97">
        <v>12155</v>
      </c>
    </row>
    <row r="71" spans="1:9" x14ac:dyDescent="0.25">
      <c r="A71" s="17">
        <v>2012</v>
      </c>
      <c r="B71" s="97">
        <v>924815.1</v>
      </c>
      <c r="C71" s="97">
        <v>39957.990000000005</v>
      </c>
    </row>
    <row r="72" spans="1:9" x14ac:dyDescent="0.25">
      <c r="A72" s="17" t="s">
        <v>142</v>
      </c>
      <c r="B72" s="98">
        <f>(B71/B70)^(1/11)-1</f>
        <v>8.6602341648453374E-2</v>
      </c>
      <c r="C72" s="98">
        <f>(C71/C70)^(1/11)-1</f>
        <v>0.11425923647762293</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Summary</vt:lpstr>
      <vt:lpstr>Calc Method Using MWh</vt:lpstr>
      <vt:lpstr>Calc Method Using % 2012 Gen</vt:lpstr>
      <vt:lpstr>Input - Effective RE Level</vt:lpstr>
      <vt:lpstr>Input- EIA 2012 Generation Data</vt:lpstr>
      <vt:lpstr>'Calc Method Using % 2012 Gen'!Print_Area</vt:lpstr>
      <vt:lpstr>'Calc Method Using MWh'!Print_Area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2014-06-09T21:07:37Z</dcterms:created>
  <dcterms:modified xsi:type="dcterms:W3CDTF">2014-06-11T21:51:45Z</dcterms:modified>
</cp:coreProperties>
</file>