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ims\Documents\"/>
    </mc:Choice>
  </mc:AlternateContent>
  <bookViews>
    <workbookView xWindow="0" yWindow="0" windowWidth="19200" windowHeight="12225"/>
  </bookViews>
  <sheets>
    <sheet name="New Source Complements" sheetId="13" r:id="rId1"/>
    <sheet name="Mass Goal Generation Growth" sheetId="18" r:id="rId2"/>
    <sheet name="Under Construction" sheetId="15" r:id="rId3"/>
    <sheet name="2012 Sales" sheetId="14" r:id="rId4"/>
    <sheet name="State Interconnection Mapping" sheetId="19" r:id="rId5"/>
    <sheet name="Net Energy for Load" sheetId="9" r:id="rId6"/>
    <sheet name="State Share Interconnect Gen " sheetId="21" r:id="rId7"/>
  </sheets>
  <externalReferences>
    <externalReference r:id="rId8"/>
  </externalReferences>
  <definedNames>
    <definedName name="cFtMojaveSales">'[1]App 1 - Info'!$B$32</definedName>
    <definedName name="cGuamSales">'[1]App 1 - Info'!$B$29</definedName>
    <definedName name="cHours">'[1]App 1 - Info'!$B$11</definedName>
    <definedName name="cMT2LB">'[1]App 1 - Info'!$B$25</definedName>
    <definedName name="cNavajoSales">'[1]App 1 - Info'!$B$30</definedName>
    <definedName name="cOpt1NGCC">'[1]App 1 - Info'!$B$26</definedName>
    <definedName name="cOpt2NGCC">'[1]App 1 - Info'!$B$27</definedName>
    <definedName name="cPRSales">'[1]App 1 - Info'!$B$28</definedName>
    <definedName name="cTDLoss">'[1]App 1 - Info'!$B$33</definedName>
    <definedName name="IncrRE">#REF!</definedName>
    <definedName name="Nuclear">#REF!</definedName>
    <definedName name="Opt1EE">#REF!</definedName>
    <definedName name="Opt1NewGen">#REF!</definedName>
    <definedName name="Opt2EE">#REF!</definedName>
    <definedName name="Opt2NewGe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8" i="13" l="1"/>
  <c r="T78" i="13"/>
  <c r="U78" i="13"/>
  <c r="V78" i="13"/>
  <c r="W78" i="13"/>
  <c r="S79" i="13"/>
  <c r="T79" i="13"/>
  <c r="U79" i="13"/>
  <c r="V79" i="13"/>
  <c r="W79" i="13"/>
  <c r="S80" i="13"/>
  <c r="T80" i="13"/>
  <c r="U80" i="13"/>
  <c r="V80" i="13"/>
  <c r="W80" i="13"/>
  <c r="S81" i="13"/>
  <c r="T81" i="13"/>
  <c r="U81" i="13"/>
  <c r="V81" i="13"/>
  <c r="W81" i="13"/>
  <c r="S82" i="13"/>
  <c r="T82" i="13"/>
  <c r="U82" i="13"/>
  <c r="V82" i="13"/>
  <c r="W82" i="13"/>
  <c r="S83" i="13"/>
  <c r="T83" i="13"/>
  <c r="U83" i="13"/>
  <c r="V83" i="13"/>
  <c r="W83" i="13"/>
  <c r="S84" i="13"/>
  <c r="T84" i="13"/>
  <c r="U84" i="13"/>
  <c r="V84" i="13"/>
  <c r="W84" i="13"/>
  <c r="S85" i="13"/>
  <c r="T85" i="13"/>
  <c r="U85" i="13"/>
  <c r="V85" i="13"/>
  <c r="W85" i="13"/>
  <c r="S86" i="13"/>
  <c r="T86" i="13"/>
  <c r="U86" i="13"/>
  <c r="V86" i="13"/>
  <c r="W86" i="13"/>
  <c r="S87" i="13"/>
  <c r="T87" i="13"/>
  <c r="U87" i="13"/>
  <c r="V87" i="13"/>
  <c r="W87" i="13"/>
  <c r="S88" i="13"/>
  <c r="T88" i="13"/>
  <c r="U88" i="13"/>
  <c r="V88" i="13"/>
  <c r="W88" i="13"/>
  <c r="S89" i="13"/>
  <c r="T89" i="13"/>
  <c r="U89" i="13"/>
  <c r="V89" i="13"/>
  <c r="W89" i="13"/>
  <c r="S90" i="13"/>
  <c r="T90" i="13"/>
  <c r="U90" i="13"/>
  <c r="V90" i="13"/>
  <c r="W90" i="13"/>
  <c r="S91" i="13"/>
  <c r="T91" i="13"/>
  <c r="U91" i="13"/>
  <c r="V91" i="13"/>
  <c r="W91" i="13"/>
  <c r="S92" i="13"/>
  <c r="T92" i="13"/>
  <c r="U92" i="13"/>
  <c r="V92" i="13"/>
  <c r="W92" i="13"/>
  <c r="S93" i="13"/>
  <c r="T93" i="13"/>
  <c r="U93" i="13"/>
  <c r="V93" i="13"/>
  <c r="W93" i="13"/>
  <c r="S94" i="13"/>
  <c r="T94" i="13"/>
  <c r="U94" i="13"/>
  <c r="V94" i="13"/>
  <c r="W94" i="13"/>
  <c r="S95" i="13"/>
  <c r="T95" i="13"/>
  <c r="U95" i="13"/>
  <c r="V95" i="13"/>
  <c r="W95" i="13"/>
  <c r="S96" i="13"/>
  <c r="T96" i="13"/>
  <c r="U96" i="13"/>
  <c r="V96" i="13"/>
  <c r="W96" i="13"/>
  <c r="S97" i="13"/>
  <c r="T97" i="13"/>
  <c r="U97" i="13"/>
  <c r="V97" i="13"/>
  <c r="W97" i="13"/>
  <c r="S98" i="13"/>
  <c r="T98" i="13"/>
  <c r="U98" i="13"/>
  <c r="V98" i="13"/>
  <c r="W98" i="13"/>
  <c r="S99" i="13"/>
  <c r="T99" i="13"/>
  <c r="U99" i="13"/>
  <c r="V99" i="13"/>
  <c r="W99" i="13"/>
  <c r="S100" i="13"/>
  <c r="T100" i="13"/>
  <c r="U100" i="13"/>
  <c r="V100" i="13"/>
  <c r="W100" i="13"/>
  <c r="S101" i="13"/>
  <c r="T101" i="13"/>
  <c r="U101" i="13"/>
  <c r="V101" i="13"/>
  <c r="W101" i="13"/>
  <c r="S102" i="13"/>
  <c r="T102" i="13"/>
  <c r="U102" i="13"/>
  <c r="V102" i="13"/>
  <c r="W102" i="13"/>
  <c r="S103" i="13"/>
  <c r="T103" i="13"/>
  <c r="U103" i="13"/>
  <c r="V103" i="13"/>
  <c r="W103" i="13"/>
  <c r="S104" i="13"/>
  <c r="T104" i="13"/>
  <c r="U104" i="13"/>
  <c r="V104" i="13"/>
  <c r="W104" i="13"/>
  <c r="S105" i="13"/>
  <c r="T105" i="13"/>
  <c r="U105" i="13"/>
  <c r="V105" i="13"/>
  <c r="W105" i="13"/>
  <c r="S106" i="13"/>
  <c r="T106" i="13"/>
  <c r="U106" i="13"/>
  <c r="V106" i="13"/>
  <c r="W106" i="13"/>
  <c r="S107" i="13"/>
  <c r="T107" i="13"/>
  <c r="U107" i="13"/>
  <c r="V107" i="13"/>
  <c r="W107" i="13"/>
  <c r="S108" i="13"/>
  <c r="T108" i="13"/>
  <c r="U108" i="13"/>
  <c r="V108" i="13"/>
  <c r="W108" i="13"/>
  <c r="S109" i="13"/>
  <c r="T109" i="13"/>
  <c r="U109" i="13"/>
  <c r="V109" i="13"/>
  <c r="W109" i="13"/>
  <c r="S110" i="13"/>
  <c r="T110" i="13"/>
  <c r="U110" i="13"/>
  <c r="V110" i="13"/>
  <c r="W110" i="13"/>
  <c r="S111" i="13"/>
  <c r="T111" i="13"/>
  <c r="U111" i="13"/>
  <c r="V111" i="13"/>
  <c r="W111" i="13"/>
  <c r="S112" i="13"/>
  <c r="T112" i="13"/>
  <c r="U112" i="13"/>
  <c r="V112" i="13"/>
  <c r="W112" i="13"/>
  <c r="S113" i="13"/>
  <c r="T113" i="13"/>
  <c r="U113" i="13"/>
  <c r="V113" i="13"/>
  <c r="W113" i="13"/>
  <c r="S114" i="13"/>
  <c r="T114" i="13"/>
  <c r="U114" i="13"/>
  <c r="V114" i="13"/>
  <c r="W114" i="13"/>
  <c r="S115" i="13"/>
  <c r="T115" i="13"/>
  <c r="U115" i="13"/>
  <c r="V115" i="13"/>
  <c r="W115" i="13"/>
  <c r="S116" i="13"/>
  <c r="T116" i="13"/>
  <c r="U116" i="13"/>
  <c r="V116" i="13"/>
  <c r="W116" i="13"/>
  <c r="S117" i="13"/>
  <c r="T117" i="13"/>
  <c r="U117" i="13"/>
  <c r="V117" i="13"/>
  <c r="W117" i="13"/>
  <c r="S118" i="13"/>
  <c r="T118" i="13"/>
  <c r="U118" i="13"/>
  <c r="V118" i="13"/>
  <c r="W118" i="13"/>
  <c r="S119" i="13"/>
  <c r="T119" i="13"/>
  <c r="U119" i="13"/>
  <c r="V119" i="13"/>
  <c r="W119" i="13"/>
  <c r="S120" i="13"/>
  <c r="T120" i="13"/>
  <c r="U120" i="13"/>
  <c r="V120" i="13"/>
  <c r="W120" i="13"/>
  <c r="S121" i="13"/>
  <c r="T121" i="13"/>
  <c r="U121" i="13"/>
  <c r="V121" i="13"/>
  <c r="W121" i="13"/>
  <c r="S122" i="13"/>
  <c r="T122" i="13"/>
  <c r="U122" i="13"/>
  <c r="V122" i="13"/>
  <c r="W122" i="13"/>
  <c r="S123" i="13"/>
  <c r="T123" i="13"/>
  <c r="U123" i="13"/>
  <c r="V123" i="13"/>
  <c r="W123" i="13"/>
  <c r="S124" i="13"/>
  <c r="T124" i="13"/>
  <c r="U124" i="13"/>
  <c r="V124" i="13"/>
  <c r="W124" i="13"/>
  <c r="S125" i="13"/>
  <c r="T125" i="13"/>
  <c r="U125" i="13"/>
  <c r="V125" i="13"/>
  <c r="W125" i="13"/>
  <c r="S126" i="13"/>
  <c r="T126" i="13"/>
  <c r="U126" i="13"/>
  <c r="V126" i="13"/>
  <c r="W126" i="13"/>
  <c r="W77" i="13" l="1"/>
  <c r="V77" i="13"/>
  <c r="U77" i="13"/>
  <c r="T77" i="13"/>
  <c r="S77" i="13"/>
  <c r="D18" i="13" l="1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17" i="13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4" i="21"/>
  <c r="AB6" i="13"/>
  <c r="AC6" i="13"/>
  <c r="AD6" i="13"/>
  <c r="AE6" i="13"/>
  <c r="AF6" i="13"/>
  <c r="AG6" i="13"/>
  <c r="AH6" i="13"/>
  <c r="AI6" i="13"/>
  <c r="AJ6" i="13"/>
  <c r="AB7" i="13"/>
  <c r="AC7" i="13"/>
  <c r="AD7" i="13"/>
  <c r="AE7" i="13"/>
  <c r="AF7" i="13"/>
  <c r="AG7" i="13"/>
  <c r="AH7" i="13"/>
  <c r="AI7" i="13"/>
  <c r="AJ7" i="13"/>
  <c r="AC5" i="13"/>
  <c r="AD5" i="13"/>
  <c r="AE5" i="13"/>
  <c r="AF5" i="13"/>
  <c r="AG5" i="13"/>
  <c r="AH5" i="13"/>
  <c r="AI5" i="13"/>
  <c r="AJ5" i="13"/>
  <c r="AB5" i="13"/>
  <c r="D6" i="18"/>
  <c r="E6" i="18"/>
  <c r="F6" i="18"/>
  <c r="G6" i="18"/>
  <c r="H6" i="18"/>
  <c r="I6" i="18"/>
  <c r="J6" i="18"/>
  <c r="K6" i="18"/>
  <c r="L6" i="18"/>
  <c r="D7" i="18"/>
  <c r="E7" i="18"/>
  <c r="F7" i="18"/>
  <c r="G7" i="18"/>
  <c r="H7" i="18"/>
  <c r="I7" i="18"/>
  <c r="J7" i="18"/>
  <c r="K7" i="18"/>
  <c r="L7" i="18"/>
  <c r="E5" i="18"/>
  <c r="F5" i="18"/>
  <c r="G5" i="18"/>
  <c r="H5" i="18"/>
  <c r="I5" i="18"/>
  <c r="J5" i="18"/>
  <c r="K5" i="18"/>
  <c r="L5" i="18"/>
  <c r="D5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10" i="18"/>
  <c r="D11" i="18"/>
  <c r="E11" i="18"/>
  <c r="F11" i="18"/>
  <c r="G11" i="18"/>
  <c r="H11" i="18"/>
  <c r="I11" i="18"/>
  <c r="J11" i="18"/>
  <c r="K11" i="18"/>
  <c r="L11" i="18"/>
  <c r="D12" i="18"/>
  <c r="E12" i="18"/>
  <c r="F12" i="18"/>
  <c r="G12" i="18"/>
  <c r="H12" i="18"/>
  <c r="I12" i="18"/>
  <c r="J12" i="18"/>
  <c r="K12" i="18"/>
  <c r="L12" i="18"/>
  <c r="D13" i="18"/>
  <c r="E13" i="18"/>
  <c r="F13" i="18"/>
  <c r="G13" i="18"/>
  <c r="H13" i="18"/>
  <c r="I13" i="18"/>
  <c r="J13" i="18"/>
  <c r="K13" i="18"/>
  <c r="L13" i="18"/>
  <c r="D14" i="18"/>
  <c r="E14" i="18"/>
  <c r="F14" i="18"/>
  <c r="G14" i="18"/>
  <c r="H14" i="18"/>
  <c r="I14" i="18"/>
  <c r="J14" i="18"/>
  <c r="K14" i="18"/>
  <c r="L14" i="18"/>
  <c r="D15" i="18"/>
  <c r="E15" i="18"/>
  <c r="F15" i="18"/>
  <c r="G15" i="18"/>
  <c r="H15" i="18"/>
  <c r="I15" i="18"/>
  <c r="J15" i="18"/>
  <c r="K15" i="18"/>
  <c r="L15" i="18"/>
  <c r="D16" i="18"/>
  <c r="E16" i="18"/>
  <c r="F16" i="18"/>
  <c r="G16" i="18"/>
  <c r="H16" i="18"/>
  <c r="I16" i="18"/>
  <c r="J16" i="18"/>
  <c r="K16" i="18"/>
  <c r="L16" i="18"/>
  <c r="D17" i="18"/>
  <c r="E17" i="18"/>
  <c r="F17" i="18"/>
  <c r="G17" i="18"/>
  <c r="H17" i="18"/>
  <c r="I17" i="18"/>
  <c r="J17" i="18"/>
  <c r="K17" i="18"/>
  <c r="L17" i="18"/>
  <c r="D18" i="18"/>
  <c r="E18" i="18"/>
  <c r="F18" i="18"/>
  <c r="G18" i="18"/>
  <c r="H18" i="18"/>
  <c r="I18" i="18"/>
  <c r="J18" i="18"/>
  <c r="K18" i="18"/>
  <c r="L18" i="18"/>
  <c r="D19" i="18"/>
  <c r="E19" i="18"/>
  <c r="F19" i="18"/>
  <c r="G19" i="18"/>
  <c r="H19" i="18"/>
  <c r="I19" i="18"/>
  <c r="J19" i="18"/>
  <c r="K19" i="18"/>
  <c r="L19" i="18"/>
  <c r="D20" i="18"/>
  <c r="E20" i="18"/>
  <c r="F20" i="18"/>
  <c r="G20" i="18"/>
  <c r="H20" i="18"/>
  <c r="I20" i="18"/>
  <c r="J20" i="18"/>
  <c r="K20" i="18"/>
  <c r="L20" i="18"/>
  <c r="D21" i="18"/>
  <c r="E21" i="18"/>
  <c r="F21" i="18"/>
  <c r="G21" i="18"/>
  <c r="H21" i="18"/>
  <c r="I21" i="18"/>
  <c r="J21" i="18"/>
  <c r="K21" i="18"/>
  <c r="L21" i="18"/>
  <c r="D22" i="18"/>
  <c r="E22" i="18"/>
  <c r="F22" i="18"/>
  <c r="G22" i="18"/>
  <c r="H22" i="18"/>
  <c r="I22" i="18"/>
  <c r="J22" i="18"/>
  <c r="K22" i="18"/>
  <c r="L22" i="18"/>
  <c r="D23" i="18"/>
  <c r="E23" i="18"/>
  <c r="F23" i="18"/>
  <c r="G23" i="18"/>
  <c r="H23" i="18"/>
  <c r="I23" i="18"/>
  <c r="J23" i="18"/>
  <c r="K23" i="18"/>
  <c r="L23" i="18"/>
  <c r="D24" i="18"/>
  <c r="E24" i="18"/>
  <c r="F24" i="18"/>
  <c r="G24" i="18"/>
  <c r="H24" i="18"/>
  <c r="I24" i="18"/>
  <c r="J24" i="18"/>
  <c r="K24" i="18"/>
  <c r="L24" i="18"/>
  <c r="D25" i="18"/>
  <c r="E25" i="18"/>
  <c r="F25" i="18"/>
  <c r="G25" i="18"/>
  <c r="H25" i="18"/>
  <c r="I25" i="18"/>
  <c r="J25" i="18"/>
  <c r="K25" i="18"/>
  <c r="L25" i="18"/>
  <c r="D26" i="18"/>
  <c r="E26" i="18"/>
  <c r="F26" i="18"/>
  <c r="G26" i="18"/>
  <c r="H26" i="18"/>
  <c r="I26" i="18"/>
  <c r="J26" i="18"/>
  <c r="K26" i="18"/>
  <c r="L26" i="18"/>
  <c r="D27" i="18"/>
  <c r="E27" i="18"/>
  <c r="F27" i="18"/>
  <c r="G27" i="18"/>
  <c r="H27" i="18"/>
  <c r="I27" i="18"/>
  <c r="J27" i="18"/>
  <c r="K27" i="18"/>
  <c r="L27" i="18"/>
  <c r="D28" i="18"/>
  <c r="E28" i="18"/>
  <c r="F28" i="18"/>
  <c r="G28" i="18"/>
  <c r="H28" i="18"/>
  <c r="I28" i="18"/>
  <c r="J28" i="18"/>
  <c r="K28" i="18"/>
  <c r="L28" i="18"/>
  <c r="D29" i="18"/>
  <c r="E29" i="18"/>
  <c r="F29" i="18"/>
  <c r="G29" i="18"/>
  <c r="H29" i="18"/>
  <c r="I29" i="18"/>
  <c r="J29" i="18"/>
  <c r="K29" i="18"/>
  <c r="L29" i="18"/>
  <c r="D30" i="18"/>
  <c r="E30" i="18"/>
  <c r="F30" i="18"/>
  <c r="G30" i="18"/>
  <c r="H30" i="18"/>
  <c r="I30" i="18"/>
  <c r="J30" i="18"/>
  <c r="K30" i="18"/>
  <c r="L30" i="18"/>
  <c r="D31" i="18"/>
  <c r="E31" i="18"/>
  <c r="F31" i="18"/>
  <c r="G31" i="18"/>
  <c r="H31" i="18"/>
  <c r="I31" i="18"/>
  <c r="J31" i="18"/>
  <c r="K31" i="18"/>
  <c r="L31" i="18"/>
  <c r="D32" i="18"/>
  <c r="E32" i="18"/>
  <c r="F32" i="18"/>
  <c r="G32" i="18"/>
  <c r="H32" i="18"/>
  <c r="I32" i="18"/>
  <c r="J32" i="18"/>
  <c r="K32" i="18"/>
  <c r="L32" i="18"/>
  <c r="D33" i="18"/>
  <c r="E33" i="18"/>
  <c r="F33" i="18"/>
  <c r="G33" i="18"/>
  <c r="H33" i="18"/>
  <c r="I33" i="18"/>
  <c r="J33" i="18"/>
  <c r="K33" i="18"/>
  <c r="L33" i="18"/>
  <c r="D34" i="18"/>
  <c r="E34" i="18"/>
  <c r="F34" i="18"/>
  <c r="G34" i="18"/>
  <c r="H34" i="18"/>
  <c r="I34" i="18"/>
  <c r="J34" i="18"/>
  <c r="K34" i="18"/>
  <c r="L34" i="18"/>
  <c r="D35" i="18"/>
  <c r="E35" i="18"/>
  <c r="F35" i="18"/>
  <c r="G35" i="18"/>
  <c r="H35" i="18"/>
  <c r="I35" i="18"/>
  <c r="J35" i="18"/>
  <c r="K35" i="18"/>
  <c r="L35" i="18"/>
  <c r="D36" i="18"/>
  <c r="E36" i="18"/>
  <c r="F36" i="18"/>
  <c r="G36" i="18"/>
  <c r="H36" i="18"/>
  <c r="I36" i="18"/>
  <c r="J36" i="18"/>
  <c r="K36" i="18"/>
  <c r="L36" i="18"/>
  <c r="D37" i="18"/>
  <c r="E37" i="18"/>
  <c r="F37" i="18"/>
  <c r="G37" i="18"/>
  <c r="H37" i="18"/>
  <c r="I37" i="18"/>
  <c r="J37" i="18"/>
  <c r="K37" i="18"/>
  <c r="L37" i="18"/>
  <c r="D38" i="18"/>
  <c r="E38" i="18"/>
  <c r="F38" i="18"/>
  <c r="G38" i="18"/>
  <c r="H38" i="18"/>
  <c r="I38" i="18"/>
  <c r="J38" i="18"/>
  <c r="K38" i="18"/>
  <c r="L38" i="18"/>
  <c r="D39" i="18"/>
  <c r="E39" i="18"/>
  <c r="F39" i="18"/>
  <c r="G39" i="18"/>
  <c r="H39" i="18"/>
  <c r="I39" i="18"/>
  <c r="J39" i="18"/>
  <c r="K39" i="18"/>
  <c r="L39" i="18"/>
  <c r="D40" i="18"/>
  <c r="E40" i="18"/>
  <c r="F40" i="18"/>
  <c r="G40" i="18"/>
  <c r="H40" i="18"/>
  <c r="I40" i="18"/>
  <c r="J40" i="18"/>
  <c r="K40" i="18"/>
  <c r="L40" i="18"/>
  <c r="D41" i="18"/>
  <c r="E41" i="18"/>
  <c r="F41" i="18"/>
  <c r="G41" i="18"/>
  <c r="H41" i="18"/>
  <c r="I41" i="18"/>
  <c r="J41" i="18"/>
  <c r="K41" i="18"/>
  <c r="L41" i="18"/>
  <c r="D42" i="18"/>
  <c r="E42" i="18"/>
  <c r="F42" i="18"/>
  <c r="G42" i="18"/>
  <c r="H42" i="18"/>
  <c r="I42" i="18"/>
  <c r="J42" i="18"/>
  <c r="K42" i="18"/>
  <c r="L42" i="18"/>
  <c r="D43" i="18"/>
  <c r="E43" i="18"/>
  <c r="F43" i="18"/>
  <c r="G43" i="18"/>
  <c r="H43" i="18"/>
  <c r="I43" i="18"/>
  <c r="J43" i="18"/>
  <c r="K43" i="18"/>
  <c r="L43" i="18"/>
  <c r="D44" i="18"/>
  <c r="E44" i="18"/>
  <c r="F44" i="18"/>
  <c r="G44" i="18"/>
  <c r="H44" i="18"/>
  <c r="I44" i="18"/>
  <c r="J44" i="18"/>
  <c r="K44" i="18"/>
  <c r="L44" i="18"/>
  <c r="D45" i="18"/>
  <c r="E45" i="18"/>
  <c r="F45" i="18"/>
  <c r="G45" i="18"/>
  <c r="H45" i="18"/>
  <c r="I45" i="18"/>
  <c r="J45" i="18"/>
  <c r="K45" i="18"/>
  <c r="L45" i="18"/>
  <c r="D46" i="18"/>
  <c r="E46" i="18"/>
  <c r="F46" i="18"/>
  <c r="G46" i="18"/>
  <c r="H46" i="18"/>
  <c r="I46" i="18"/>
  <c r="J46" i="18"/>
  <c r="K46" i="18"/>
  <c r="L46" i="18"/>
  <c r="D47" i="18"/>
  <c r="E47" i="18"/>
  <c r="F47" i="18"/>
  <c r="G47" i="18"/>
  <c r="H47" i="18"/>
  <c r="I47" i="18"/>
  <c r="J47" i="18"/>
  <c r="K47" i="18"/>
  <c r="L47" i="18"/>
  <c r="D48" i="18"/>
  <c r="E48" i="18"/>
  <c r="F48" i="18"/>
  <c r="G48" i="18"/>
  <c r="H48" i="18"/>
  <c r="I48" i="18"/>
  <c r="J48" i="18"/>
  <c r="K48" i="18"/>
  <c r="L48" i="18"/>
  <c r="D49" i="18"/>
  <c r="E49" i="18"/>
  <c r="F49" i="18"/>
  <c r="G49" i="18"/>
  <c r="H49" i="18"/>
  <c r="I49" i="18"/>
  <c r="J49" i="18"/>
  <c r="K49" i="18"/>
  <c r="L49" i="18"/>
  <c r="D50" i="18"/>
  <c r="E50" i="18"/>
  <c r="F50" i="18"/>
  <c r="G50" i="18"/>
  <c r="H50" i="18"/>
  <c r="I50" i="18"/>
  <c r="J50" i="18"/>
  <c r="K50" i="18"/>
  <c r="L50" i="18"/>
  <c r="D51" i="18"/>
  <c r="E51" i="18"/>
  <c r="F51" i="18"/>
  <c r="G51" i="18"/>
  <c r="H51" i="18"/>
  <c r="I51" i="18"/>
  <c r="J51" i="18"/>
  <c r="K51" i="18"/>
  <c r="L51" i="18"/>
  <c r="D52" i="18"/>
  <c r="E52" i="18"/>
  <c r="F52" i="18"/>
  <c r="G52" i="18"/>
  <c r="H52" i="18"/>
  <c r="I52" i="18"/>
  <c r="J52" i="18"/>
  <c r="K52" i="18"/>
  <c r="L52" i="18"/>
  <c r="D53" i="18"/>
  <c r="E53" i="18"/>
  <c r="F53" i="18"/>
  <c r="G53" i="18"/>
  <c r="H53" i="18"/>
  <c r="I53" i="18"/>
  <c r="J53" i="18"/>
  <c r="K53" i="18"/>
  <c r="L53" i="18"/>
  <c r="D54" i="18"/>
  <c r="E54" i="18"/>
  <c r="F54" i="18"/>
  <c r="G54" i="18"/>
  <c r="H54" i="18"/>
  <c r="I54" i="18"/>
  <c r="J54" i="18"/>
  <c r="K54" i="18"/>
  <c r="L54" i="18"/>
  <c r="D55" i="18"/>
  <c r="E55" i="18"/>
  <c r="F55" i="18"/>
  <c r="G55" i="18"/>
  <c r="H55" i="18"/>
  <c r="I55" i="18"/>
  <c r="J55" i="18"/>
  <c r="K55" i="18"/>
  <c r="L55" i="18"/>
  <c r="D56" i="18"/>
  <c r="E56" i="18"/>
  <c r="F56" i="18"/>
  <c r="G56" i="18"/>
  <c r="H56" i="18"/>
  <c r="I56" i="18"/>
  <c r="J56" i="18"/>
  <c r="K56" i="18"/>
  <c r="L56" i="18"/>
  <c r="D57" i="18"/>
  <c r="E57" i="18"/>
  <c r="F57" i="18"/>
  <c r="G57" i="18"/>
  <c r="H57" i="18"/>
  <c r="I57" i="18"/>
  <c r="J57" i="18"/>
  <c r="K57" i="18"/>
  <c r="L57" i="18"/>
  <c r="D58" i="18"/>
  <c r="E58" i="18"/>
  <c r="F58" i="18"/>
  <c r="G58" i="18"/>
  <c r="H58" i="18"/>
  <c r="I58" i="18"/>
  <c r="J58" i="18"/>
  <c r="K58" i="18"/>
  <c r="L58" i="18"/>
  <c r="D59" i="18"/>
  <c r="E59" i="18"/>
  <c r="F59" i="18"/>
  <c r="G59" i="18"/>
  <c r="H59" i="18"/>
  <c r="I59" i="18"/>
  <c r="J59" i="18"/>
  <c r="K59" i="18"/>
  <c r="L59" i="18"/>
  <c r="E10" i="18"/>
  <c r="F10" i="18"/>
  <c r="G10" i="18"/>
  <c r="H10" i="18"/>
  <c r="I10" i="18"/>
  <c r="J10" i="18"/>
  <c r="K10" i="18"/>
  <c r="L10" i="18"/>
  <c r="D10" i="18"/>
  <c r="T9" i="18"/>
  <c r="U9" i="18"/>
  <c r="V9" i="18"/>
  <c r="W9" i="18"/>
  <c r="X9" i="18"/>
  <c r="Y9" i="18"/>
  <c r="Z9" i="18"/>
  <c r="AA9" i="18"/>
  <c r="AB9" i="18"/>
  <c r="T10" i="18"/>
  <c r="U10" i="18"/>
  <c r="V10" i="18"/>
  <c r="W10" i="18"/>
  <c r="X10" i="18"/>
  <c r="Y10" i="18"/>
  <c r="Z10" i="18"/>
  <c r="AA10" i="18"/>
  <c r="AB10" i="18"/>
  <c r="T11" i="18"/>
  <c r="U11" i="18"/>
  <c r="V11" i="18"/>
  <c r="W11" i="18"/>
  <c r="X11" i="18"/>
  <c r="Y11" i="18"/>
  <c r="Z11" i="18"/>
  <c r="AA11" i="18"/>
  <c r="AB11" i="18"/>
  <c r="T12" i="18"/>
  <c r="U12" i="18"/>
  <c r="V12" i="18"/>
  <c r="W12" i="18"/>
  <c r="X12" i="18"/>
  <c r="Y12" i="18"/>
  <c r="Z12" i="18"/>
  <c r="AA12" i="18"/>
  <c r="AB12" i="18"/>
  <c r="T13" i="18"/>
  <c r="U13" i="18"/>
  <c r="V13" i="18"/>
  <c r="W13" i="18"/>
  <c r="X13" i="18"/>
  <c r="Y13" i="18"/>
  <c r="Z13" i="18"/>
  <c r="AA13" i="18"/>
  <c r="AB13" i="18"/>
  <c r="T14" i="18"/>
  <c r="U14" i="18"/>
  <c r="V14" i="18"/>
  <c r="W14" i="18"/>
  <c r="X14" i="18"/>
  <c r="Y14" i="18"/>
  <c r="Z14" i="18"/>
  <c r="AA14" i="18"/>
  <c r="AB14" i="18"/>
  <c r="T15" i="18"/>
  <c r="U15" i="18"/>
  <c r="V15" i="18"/>
  <c r="W15" i="18"/>
  <c r="X15" i="18"/>
  <c r="Y15" i="18"/>
  <c r="Z15" i="18"/>
  <c r="AA15" i="18"/>
  <c r="AB15" i="18"/>
  <c r="T16" i="18"/>
  <c r="U16" i="18"/>
  <c r="V16" i="18"/>
  <c r="W16" i="18"/>
  <c r="X16" i="18"/>
  <c r="Y16" i="18"/>
  <c r="Z16" i="18"/>
  <c r="AA16" i="18"/>
  <c r="AB16" i="18"/>
  <c r="T17" i="18"/>
  <c r="U17" i="18"/>
  <c r="V17" i="18"/>
  <c r="W17" i="18"/>
  <c r="X17" i="18"/>
  <c r="Y17" i="18"/>
  <c r="Z17" i="18"/>
  <c r="AA17" i="18"/>
  <c r="AB17" i="18"/>
  <c r="T18" i="18"/>
  <c r="U18" i="18"/>
  <c r="V18" i="18"/>
  <c r="W18" i="18"/>
  <c r="X18" i="18"/>
  <c r="Y18" i="18"/>
  <c r="Z18" i="18"/>
  <c r="AA18" i="18"/>
  <c r="AB18" i="18"/>
  <c r="T19" i="18"/>
  <c r="U19" i="18"/>
  <c r="V19" i="18"/>
  <c r="W19" i="18"/>
  <c r="X19" i="18"/>
  <c r="Y19" i="18"/>
  <c r="Z19" i="18"/>
  <c r="AA19" i="18"/>
  <c r="AB19" i="18"/>
  <c r="T20" i="18"/>
  <c r="U20" i="18"/>
  <c r="V20" i="18"/>
  <c r="W20" i="18"/>
  <c r="X20" i="18"/>
  <c r="Y20" i="18"/>
  <c r="Z20" i="18"/>
  <c r="AA20" i="18"/>
  <c r="AB20" i="18"/>
  <c r="T21" i="18"/>
  <c r="U21" i="18"/>
  <c r="V21" i="18"/>
  <c r="W21" i="18"/>
  <c r="X21" i="18"/>
  <c r="Y21" i="18"/>
  <c r="Z21" i="18"/>
  <c r="AA21" i="18"/>
  <c r="AB21" i="18"/>
  <c r="T22" i="18"/>
  <c r="U22" i="18"/>
  <c r="V22" i="18"/>
  <c r="W22" i="18"/>
  <c r="X22" i="18"/>
  <c r="Y22" i="18"/>
  <c r="Z22" i="18"/>
  <c r="AA22" i="18"/>
  <c r="AB22" i="18"/>
  <c r="T23" i="18"/>
  <c r="U23" i="18"/>
  <c r="V23" i="18"/>
  <c r="W23" i="18"/>
  <c r="X23" i="18"/>
  <c r="Y23" i="18"/>
  <c r="Z23" i="18"/>
  <c r="AA23" i="18"/>
  <c r="AB23" i="18"/>
  <c r="T24" i="18"/>
  <c r="U24" i="18"/>
  <c r="V24" i="18"/>
  <c r="W24" i="18"/>
  <c r="X24" i="18"/>
  <c r="Y24" i="18"/>
  <c r="Z24" i="18"/>
  <c r="AA24" i="18"/>
  <c r="AB24" i="18"/>
  <c r="T25" i="18"/>
  <c r="U25" i="18"/>
  <c r="V25" i="18"/>
  <c r="W25" i="18"/>
  <c r="X25" i="18"/>
  <c r="Y25" i="18"/>
  <c r="Z25" i="18"/>
  <c r="AA25" i="18"/>
  <c r="AB25" i="18"/>
  <c r="T26" i="18"/>
  <c r="U26" i="18"/>
  <c r="V26" i="18"/>
  <c r="W26" i="18"/>
  <c r="X26" i="18"/>
  <c r="Y26" i="18"/>
  <c r="Z26" i="18"/>
  <c r="AA26" i="18"/>
  <c r="AB26" i="18"/>
  <c r="T27" i="18"/>
  <c r="U27" i="18"/>
  <c r="V27" i="18"/>
  <c r="W27" i="18"/>
  <c r="X27" i="18"/>
  <c r="Y27" i="18"/>
  <c r="Z27" i="18"/>
  <c r="AA27" i="18"/>
  <c r="AB27" i="18"/>
  <c r="T28" i="18"/>
  <c r="U28" i="18"/>
  <c r="V28" i="18"/>
  <c r="W28" i="18"/>
  <c r="X28" i="18"/>
  <c r="Y28" i="18"/>
  <c r="Z28" i="18"/>
  <c r="AA28" i="18"/>
  <c r="AB28" i="18"/>
  <c r="T29" i="18"/>
  <c r="U29" i="18"/>
  <c r="V29" i="18"/>
  <c r="W29" i="18"/>
  <c r="X29" i="18"/>
  <c r="Y29" i="18"/>
  <c r="Z29" i="18"/>
  <c r="AA29" i="18"/>
  <c r="AB29" i="18"/>
  <c r="T30" i="18"/>
  <c r="U30" i="18"/>
  <c r="V30" i="18"/>
  <c r="W30" i="18"/>
  <c r="X30" i="18"/>
  <c r="Y30" i="18"/>
  <c r="Z30" i="18"/>
  <c r="AA30" i="18"/>
  <c r="AB30" i="18"/>
  <c r="T31" i="18"/>
  <c r="U31" i="18"/>
  <c r="V31" i="18"/>
  <c r="W31" i="18"/>
  <c r="X31" i="18"/>
  <c r="Y31" i="18"/>
  <c r="Z31" i="18"/>
  <c r="AA31" i="18"/>
  <c r="AB31" i="18"/>
  <c r="T32" i="18"/>
  <c r="U32" i="18"/>
  <c r="V32" i="18"/>
  <c r="W32" i="18"/>
  <c r="X32" i="18"/>
  <c r="Y32" i="18"/>
  <c r="Z32" i="18"/>
  <c r="AA32" i="18"/>
  <c r="AB32" i="18"/>
  <c r="T33" i="18"/>
  <c r="U33" i="18"/>
  <c r="V33" i="18"/>
  <c r="W33" i="18"/>
  <c r="X33" i="18"/>
  <c r="Y33" i="18"/>
  <c r="Z33" i="18"/>
  <c r="AA33" i="18"/>
  <c r="AB33" i="18"/>
  <c r="T34" i="18"/>
  <c r="U34" i="18"/>
  <c r="V34" i="18"/>
  <c r="W34" i="18"/>
  <c r="X34" i="18"/>
  <c r="Y34" i="18"/>
  <c r="Z34" i="18"/>
  <c r="AA34" i="18"/>
  <c r="AB34" i="18"/>
  <c r="T35" i="18"/>
  <c r="U35" i="18"/>
  <c r="V35" i="18"/>
  <c r="W35" i="18"/>
  <c r="X35" i="18"/>
  <c r="Y35" i="18"/>
  <c r="Z35" i="18"/>
  <c r="AA35" i="18"/>
  <c r="AB35" i="18"/>
  <c r="T36" i="18"/>
  <c r="U36" i="18"/>
  <c r="V36" i="18"/>
  <c r="W36" i="18"/>
  <c r="X36" i="18"/>
  <c r="Y36" i="18"/>
  <c r="Z36" i="18"/>
  <c r="AA36" i="18"/>
  <c r="AB36" i="18"/>
  <c r="T37" i="18"/>
  <c r="U37" i="18"/>
  <c r="V37" i="18"/>
  <c r="W37" i="18"/>
  <c r="X37" i="18"/>
  <c r="Y37" i="18"/>
  <c r="Z37" i="18"/>
  <c r="AA37" i="18"/>
  <c r="AB37" i="18"/>
  <c r="T38" i="18"/>
  <c r="U38" i="18"/>
  <c r="V38" i="18"/>
  <c r="W38" i="18"/>
  <c r="X38" i="18"/>
  <c r="Y38" i="18"/>
  <c r="Z38" i="18"/>
  <c r="AA38" i="18"/>
  <c r="AB38" i="18"/>
  <c r="T39" i="18"/>
  <c r="U39" i="18"/>
  <c r="V39" i="18"/>
  <c r="W39" i="18"/>
  <c r="X39" i="18"/>
  <c r="Y39" i="18"/>
  <c r="Z39" i="18"/>
  <c r="AA39" i="18"/>
  <c r="AB39" i="18"/>
  <c r="T40" i="18"/>
  <c r="U40" i="18"/>
  <c r="V40" i="18"/>
  <c r="W40" i="18"/>
  <c r="X40" i="18"/>
  <c r="Y40" i="18"/>
  <c r="Z40" i="18"/>
  <c r="AA40" i="18"/>
  <c r="AB40" i="18"/>
  <c r="T41" i="18"/>
  <c r="U41" i="18"/>
  <c r="V41" i="18"/>
  <c r="W41" i="18"/>
  <c r="X41" i="18"/>
  <c r="Y41" i="18"/>
  <c r="Z41" i="18"/>
  <c r="AA41" i="18"/>
  <c r="AB41" i="18"/>
  <c r="T42" i="18"/>
  <c r="U42" i="18"/>
  <c r="V42" i="18"/>
  <c r="W42" i="18"/>
  <c r="X42" i="18"/>
  <c r="Y42" i="18"/>
  <c r="Z42" i="18"/>
  <c r="AA42" i="18"/>
  <c r="AB42" i="18"/>
  <c r="T43" i="18"/>
  <c r="U43" i="18"/>
  <c r="V43" i="18"/>
  <c r="W43" i="18"/>
  <c r="X43" i="18"/>
  <c r="Y43" i="18"/>
  <c r="Z43" i="18"/>
  <c r="AA43" i="18"/>
  <c r="AB43" i="18"/>
  <c r="T44" i="18"/>
  <c r="U44" i="18"/>
  <c r="V44" i="18"/>
  <c r="W44" i="18"/>
  <c r="X44" i="18"/>
  <c r="Y44" i="18"/>
  <c r="Z44" i="18"/>
  <c r="AA44" i="18"/>
  <c r="AB44" i="18"/>
  <c r="T45" i="18"/>
  <c r="U45" i="18"/>
  <c r="V45" i="18"/>
  <c r="W45" i="18"/>
  <c r="X45" i="18"/>
  <c r="Y45" i="18"/>
  <c r="Z45" i="18"/>
  <c r="AA45" i="18"/>
  <c r="AB45" i="18"/>
  <c r="T46" i="18"/>
  <c r="U46" i="18"/>
  <c r="V46" i="18"/>
  <c r="W46" i="18"/>
  <c r="X46" i="18"/>
  <c r="Y46" i="18"/>
  <c r="Z46" i="18"/>
  <c r="AA46" i="18"/>
  <c r="AB46" i="18"/>
  <c r="T47" i="18"/>
  <c r="U47" i="18"/>
  <c r="V47" i="18"/>
  <c r="W47" i="18"/>
  <c r="X47" i="18"/>
  <c r="Y47" i="18"/>
  <c r="Z47" i="18"/>
  <c r="AA47" i="18"/>
  <c r="AB47" i="18"/>
  <c r="T48" i="18"/>
  <c r="U48" i="18"/>
  <c r="V48" i="18"/>
  <c r="W48" i="18"/>
  <c r="X48" i="18"/>
  <c r="Y48" i="18"/>
  <c r="Z48" i="18"/>
  <c r="AA48" i="18"/>
  <c r="AB48" i="18"/>
  <c r="T49" i="18"/>
  <c r="U49" i="18"/>
  <c r="V49" i="18"/>
  <c r="W49" i="18"/>
  <c r="X49" i="18"/>
  <c r="Y49" i="18"/>
  <c r="Z49" i="18"/>
  <c r="AA49" i="18"/>
  <c r="AB49" i="18"/>
  <c r="T50" i="18"/>
  <c r="U50" i="18"/>
  <c r="V50" i="18"/>
  <c r="W50" i="18"/>
  <c r="X50" i="18"/>
  <c r="Y50" i="18"/>
  <c r="Z50" i="18"/>
  <c r="AA50" i="18"/>
  <c r="AB50" i="18"/>
  <c r="T51" i="18"/>
  <c r="U51" i="18"/>
  <c r="V51" i="18"/>
  <c r="W51" i="18"/>
  <c r="X51" i="18"/>
  <c r="Y51" i="18"/>
  <c r="Z51" i="18"/>
  <c r="AA51" i="18"/>
  <c r="AB51" i="18"/>
  <c r="T52" i="18"/>
  <c r="U52" i="18"/>
  <c r="V52" i="18"/>
  <c r="W52" i="18"/>
  <c r="X52" i="18"/>
  <c r="Y52" i="18"/>
  <c r="Z52" i="18"/>
  <c r="AA52" i="18"/>
  <c r="AB52" i="18"/>
  <c r="T53" i="18"/>
  <c r="U53" i="18"/>
  <c r="V53" i="18"/>
  <c r="W53" i="18"/>
  <c r="X53" i="18"/>
  <c r="Y53" i="18"/>
  <c r="Z53" i="18"/>
  <c r="AA53" i="18"/>
  <c r="AB53" i="18"/>
  <c r="T54" i="18"/>
  <c r="U54" i="18"/>
  <c r="V54" i="18"/>
  <c r="W54" i="18"/>
  <c r="X54" i="18"/>
  <c r="Y54" i="18"/>
  <c r="Z54" i="18"/>
  <c r="AA54" i="18"/>
  <c r="AB54" i="18"/>
  <c r="T55" i="18"/>
  <c r="U55" i="18"/>
  <c r="V55" i="18"/>
  <c r="W55" i="18"/>
  <c r="X55" i="18"/>
  <c r="Y55" i="18"/>
  <c r="Z55" i="18"/>
  <c r="AA55" i="18"/>
  <c r="AB55" i="18"/>
  <c r="T56" i="18"/>
  <c r="U56" i="18"/>
  <c r="V56" i="18"/>
  <c r="W56" i="18"/>
  <c r="X56" i="18"/>
  <c r="Y56" i="18"/>
  <c r="Z56" i="18"/>
  <c r="AA56" i="18"/>
  <c r="AB56" i="18"/>
  <c r="T57" i="18"/>
  <c r="U57" i="18"/>
  <c r="V57" i="18"/>
  <c r="W57" i="18"/>
  <c r="X57" i="18"/>
  <c r="Y57" i="18"/>
  <c r="Z57" i="18"/>
  <c r="AA57" i="18"/>
  <c r="AB57" i="18"/>
  <c r="U8" i="18"/>
  <c r="V8" i="18"/>
  <c r="W8" i="18"/>
  <c r="X8" i="18"/>
  <c r="Y8" i="18"/>
  <c r="Z8" i="18"/>
  <c r="AA8" i="18"/>
  <c r="AB8" i="18"/>
  <c r="T8" i="18"/>
  <c r="Q9" i="18"/>
  <c r="Q10" i="18"/>
  <c r="Q11" i="18"/>
  <c r="Q12" i="18"/>
  <c r="Q13" i="18"/>
  <c r="Q14" i="18"/>
  <c r="Q15" i="18"/>
  <c r="Q16" i="18"/>
  <c r="Q17" i="18"/>
  <c r="Q18" i="18"/>
  <c r="Q19" i="18"/>
  <c r="Q20" i="18"/>
  <c r="Q21" i="18"/>
  <c r="Q22" i="18"/>
  <c r="Q23" i="18"/>
  <c r="Q24" i="18"/>
  <c r="Q25" i="18"/>
  <c r="Q26" i="18"/>
  <c r="Q27" i="18"/>
  <c r="Q28" i="18"/>
  <c r="Q29" i="18"/>
  <c r="Q30" i="18"/>
  <c r="Q31" i="18"/>
  <c r="Q32" i="18"/>
  <c r="Q33" i="18"/>
  <c r="Q34" i="18"/>
  <c r="Q35" i="18"/>
  <c r="Q36" i="18"/>
  <c r="Q37" i="18"/>
  <c r="Q38" i="18"/>
  <c r="Q39" i="18"/>
  <c r="Q40" i="18"/>
  <c r="Q41" i="18"/>
  <c r="Q42" i="18"/>
  <c r="Q43" i="18"/>
  <c r="Q44" i="18"/>
  <c r="Q45" i="18"/>
  <c r="Q46" i="18"/>
  <c r="Q47" i="18"/>
  <c r="Q48" i="18"/>
  <c r="Q49" i="18"/>
  <c r="Q50" i="18"/>
  <c r="Q51" i="18"/>
  <c r="Q52" i="18"/>
  <c r="Q53" i="18"/>
  <c r="Q54" i="18"/>
  <c r="Q55" i="18"/>
  <c r="Q56" i="18"/>
  <c r="Q57" i="18"/>
  <c r="Q8" i="18"/>
  <c r="P60" i="18"/>
  <c r="P61" i="18"/>
  <c r="P59" i="18"/>
  <c r="P58" i="18"/>
  <c r="D11" i="15" l="1"/>
  <c r="D12" i="15"/>
  <c r="D13" i="15"/>
  <c r="G6" i="15" s="1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10" i="15"/>
  <c r="I7" i="15" s="1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C49" i="14"/>
  <c r="C50" i="14"/>
  <c r="C51" i="14"/>
  <c r="C52" i="14"/>
  <c r="C53" i="14"/>
  <c r="C54" i="14"/>
  <c r="C55" i="14"/>
  <c r="C56" i="14"/>
  <c r="C57" i="14"/>
  <c r="C8" i="14"/>
  <c r="F10" i="15"/>
  <c r="F11" i="15"/>
  <c r="H11" i="15"/>
  <c r="F12" i="15"/>
  <c r="H12" i="15"/>
  <c r="J12" i="15"/>
  <c r="F13" i="15"/>
  <c r="H13" i="15"/>
  <c r="J13" i="15"/>
  <c r="F14" i="15"/>
  <c r="H14" i="15"/>
  <c r="J14" i="15"/>
  <c r="F15" i="15"/>
  <c r="H15" i="15"/>
  <c r="J15" i="15"/>
  <c r="F16" i="15"/>
  <c r="H16" i="15"/>
  <c r="J16" i="15"/>
  <c r="F17" i="15"/>
  <c r="H17" i="15"/>
  <c r="J17" i="15"/>
  <c r="F18" i="15"/>
  <c r="H18" i="15"/>
  <c r="J18" i="15"/>
  <c r="F19" i="15"/>
  <c r="H19" i="15"/>
  <c r="J19" i="15"/>
  <c r="F20" i="15"/>
  <c r="H20" i="15"/>
  <c r="J20" i="15"/>
  <c r="F21" i="15"/>
  <c r="H21" i="15"/>
  <c r="J21" i="15"/>
  <c r="F22" i="15"/>
  <c r="H22" i="15"/>
  <c r="J22" i="15"/>
  <c r="F23" i="15"/>
  <c r="H23" i="15"/>
  <c r="J23" i="15"/>
  <c r="F24" i="15"/>
  <c r="H24" i="15"/>
  <c r="J24" i="15"/>
  <c r="F25" i="15"/>
  <c r="H25" i="15"/>
  <c r="J25" i="15"/>
  <c r="F26" i="15"/>
  <c r="H26" i="15"/>
  <c r="J26" i="15"/>
  <c r="F27" i="15"/>
  <c r="H27" i="15"/>
  <c r="J27" i="15"/>
  <c r="F28" i="15"/>
  <c r="H28" i="15"/>
  <c r="J28" i="15"/>
  <c r="F29" i="15"/>
  <c r="H29" i="15"/>
  <c r="J29" i="15"/>
  <c r="F30" i="15"/>
  <c r="H30" i="15"/>
  <c r="J30" i="15"/>
  <c r="F31" i="15"/>
  <c r="H31" i="15"/>
  <c r="J31" i="15"/>
  <c r="F32" i="15"/>
  <c r="H32" i="15"/>
  <c r="J32" i="15"/>
  <c r="F33" i="15"/>
  <c r="H33" i="15"/>
  <c r="J33" i="15"/>
  <c r="F34" i="15"/>
  <c r="H34" i="15"/>
  <c r="J34" i="15"/>
  <c r="F35" i="15"/>
  <c r="H35" i="15"/>
  <c r="J35" i="15"/>
  <c r="F36" i="15"/>
  <c r="H36" i="15"/>
  <c r="J36" i="15"/>
  <c r="F37" i="15"/>
  <c r="H37" i="15"/>
  <c r="J37" i="15"/>
  <c r="F38" i="15"/>
  <c r="H38" i="15"/>
  <c r="J38" i="15"/>
  <c r="F39" i="15"/>
  <c r="H39" i="15"/>
  <c r="J39" i="15"/>
  <c r="F40" i="15"/>
  <c r="H40" i="15"/>
  <c r="J40" i="15"/>
  <c r="F41" i="15"/>
  <c r="H41" i="15"/>
  <c r="J41" i="15"/>
  <c r="F42" i="15"/>
  <c r="H42" i="15"/>
  <c r="J42" i="15"/>
  <c r="F43" i="15"/>
  <c r="H43" i="15"/>
  <c r="J43" i="15"/>
  <c r="F44" i="15"/>
  <c r="H44" i="15"/>
  <c r="J44" i="15"/>
  <c r="F45" i="15"/>
  <c r="H45" i="15"/>
  <c r="J45" i="15"/>
  <c r="F46" i="15"/>
  <c r="H46" i="15"/>
  <c r="J46" i="15"/>
  <c r="F47" i="15"/>
  <c r="H47" i="15"/>
  <c r="J47" i="15"/>
  <c r="F48" i="15"/>
  <c r="H48" i="15"/>
  <c r="J48" i="15"/>
  <c r="F49" i="15"/>
  <c r="H49" i="15"/>
  <c r="J49" i="15"/>
  <c r="F50" i="15"/>
  <c r="H50" i="15"/>
  <c r="J50" i="15"/>
  <c r="F51" i="15"/>
  <c r="H51" i="15"/>
  <c r="J51" i="15"/>
  <c r="F52" i="15"/>
  <c r="H52" i="15"/>
  <c r="J52" i="15"/>
  <c r="F53" i="15"/>
  <c r="H53" i="15"/>
  <c r="J53" i="15"/>
  <c r="F54" i="15"/>
  <c r="H54" i="15"/>
  <c r="J54" i="15"/>
  <c r="F55" i="15"/>
  <c r="H55" i="15"/>
  <c r="J55" i="15"/>
  <c r="F56" i="15"/>
  <c r="H56" i="15"/>
  <c r="J56" i="15"/>
  <c r="F57" i="15"/>
  <c r="H57" i="15"/>
  <c r="J57" i="15"/>
  <c r="F58" i="15"/>
  <c r="H58" i="15"/>
  <c r="J58" i="15"/>
  <c r="F59" i="15"/>
  <c r="H59" i="15"/>
  <c r="J59" i="15"/>
  <c r="H8" i="15" l="1"/>
  <c r="Y7" i="13" s="1"/>
  <c r="F8" i="15"/>
  <c r="X7" i="13" s="1"/>
  <c r="I6" i="15"/>
  <c r="J8" i="15"/>
  <c r="Z7" i="13" s="1"/>
  <c r="I8" i="15"/>
  <c r="D4" i="14"/>
  <c r="L6" i="13" s="1"/>
  <c r="N6" i="13" s="1"/>
  <c r="D3" i="14"/>
  <c r="L5" i="13" s="1"/>
  <c r="N5" i="13" s="1"/>
  <c r="D5" i="14"/>
  <c r="L7" i="13" s="1"/>
  <c r="N7" i="13" s="1"/>
  <c r="H7" i="15"/>
  <c r="Y6" i="13" s="1"/>
  <c r="F7" i="15"/>
  <c r="X6" i="13" s="1"/>
  <c r="F6" i="15"/>
  <c r="X5" i="13" s="1"/>
  <c r="G7" i="15"/>
  <c r="E6" i="15"/>
  <c r="G8" i="15"/>
  <c r="E7" i="15"/>
  <c r="E8" i="15"/>
  <c r="J10" i="15"/>
  <c r="J11" i="15"/>
  <c r="H10" i="15"/>
  <c r="J7" i="15" l="1"/>
  <c r="Z6" i="13" s="1"/>
  <c r="J6" i="15"/>
  <c r="Z5" i="13" s="1"/>
  <c r="H6" i="15"/>
  <c r="Y5" i="13" s="1"/>
  <c r="D32" i="9" l="1"/>
  <c r="X32" i="9" s="1"/>
  <c r="E32" i="9"/>
  <c r="Y32" i="9" s="1"/>
  <c r="F32" i="9"/>
  <c r="Z32" i="9" s="1"/>
  <c r="G32" i="9"/>
  <c r="AA32" i="9" s="1"/>
  <c r="H32" i="9"/>
  <c r="AB32" i="9" s="1"/>
  <c r="I32" i="9"/>
  <c r="AC32" i="9" s="1"/>
  <c r="J32" i="9"/>
  <c r="AD32" i="9" s="1"/>
  <c r="K32" i="9"/>
  <c r="AE32" i="9" s="1"/>
  <c r="L32" i="9"/>
  <c r="AF32" i="9" s="1"/>
  <c r="M32" i="9"/>
  <c r="AG32" i="9" s="1"/>
  <c r="C6" i="13" s="1"/>
  <c r="O6" i="13" s="1"/>
  <c r="N32" i="9"/>
  <c r="AH32" i="9" s="1"/>
  <c r="D6" i="13" s="1"/>
  <c r="P6" i="13" s="1"/>
  <c r="O32" i="9"/>
  <c r="AI32" i="9" s="1"/>
  <c r="E6" i="13" s="1"/>
  <c r="Q6" i="13" s="1"/>
  <c r="P32" i="9"/>
  <c r="AJ32" i="9" s="1"/>
  <c r="F6" i="13" s="1"/>
  <c r="R6" i="13" s="1"/>
  <c r="Q32" i="9"/>
  <c r="AK32" i="9" s="1"/>
  <c r="G6" i="13" s="1"/>
  <c r="S6" i="13" s="1"/>
  <c r="R32" i="9"/>
  <c r="AL32" i="9" s="1"/>
  <c r="H6" i="13" s="1"/>
  <c r="T6" i="13" s="1"/>
  <c r="S32" i="9"/>
  <c r="AM32" i="9" s="1"/>
  <c r="I6" i="13" s="1"/>
  <c r="U6" i="13" s="1"/>
  <c r="T32" i="9"/>
  <c r="AN32" i="9" s="1"/>
  <c r="J6" i="13" s="1"/>
  <c r="V6" i="13" s="1"/>
  <c r="U32" i="9"/>
  <c r="AO32" i="9" s="1"/>
  <c r="K6" i="13" s="1"/>
  <c r="W6" i="13" s="1"/>
  <c r="D33" i="9"/>
  <c r="E33" i="9"/>
  <c r="Y33" i="9" s="1"/>
  <c r="F33" i="9"/>
  <c r="Z33" i="9" s="1"/>
  <c r="G33" i="9"/>
  <c r="H33" i="9"/>
  <c r="AB33" i="9" s="1"/>
  <c r="I33" i="9"/>
  <c r="AC33" i="9" s="1"/>
  <c r="J33" i="9"/>
  <c r="AD33" i="9" s="1"/>
  <c r="K33" i="9"/>
  <c r="AE33" i="9" s="1"/>
  <c r="L33" i="9"/>
  <c r="AF33" i="9" s="1"/>
  <c r="M33" i="9"/>
  <c r="AG33" i="9" s="1"/>
  <c r="C7" i="13" s="1"/>
  <c r="O7" i="13" s="1"/>
  <c r="N33" i="9"/>
  <c r="AH33" i="9" s="1"/>
  <c r="D7" i="13" s="1"/>
  <c r="P7" i="13" s="1"/>
  <c r="O33" i="9"/>
  <c r="P33" i="9"/>
  <c r="AJ33" i="9" s="1"/>
  <c r="F7" i="13" s="1"/>
  <c r="R7" i="13" s="1"/>
  <c r="Q33" i="9"/>
  <c r="AK33" i="9" s="1"/>
  <c r="G7" i="13" s="1"/>
  <c r="S7" i="13" s="1"/>
  <c r="R33" i="9"/>
  <c r="AL33" i="9" s="1"/>
  <c r="H7" i="13" s="1"/>
  <c r="T7" i="13" s="1"/>
  <c r="S33" i="9"/>
  <c r="AM33" i="9" s="1"/>
  <c r="I7" i="13" s="1"/>
  <c r="U7" i="13" s="1"/>
  <c r="T33" i="9"/>
  <c r="AN33" i="9" s="1"/>
  <c r="J7" i="13" s="1"/>
  <c r="V7" i="13" s="1"/>
  <c r="U33" i="9"/>
  <c r="AO33" i="9" s="1"/>
  <c r="K7" i="13" s="1"/>
  <c r="W7" i="13" s="1"/>
  <c r="C33" i="9"/>
  <c r="AA33" i="9" s="1"/>
  <c r="C32" i="9"/>
  <c r="AI33" i="9" l="1"/>
  <c r="E7" i="13" s="1"/>
  <c r="Q7" i="13" s="1"/>
  <c r="X33" i="9"/>
  <c r="AA5" i="13" l="1"/>
  <c r="AA6" i="13"/>
  <c r="AA7" i="13"/>
  <c r="AP7" i="13" l="1"/>
  <c r="J14" i="13" s="1"/>
  <c r="J57" i="13" s="1"/>
  <c r="J117" i="13" s="1"/>
  <c r="AO7" i="13"/>
  <c r="I14" i="13" s="1"/>
  <c r="I57" i="13" s="1"/>
  <c r="I117" i="13" s="1"/>
  <c r="AM7" i="13"/>
  <c r="G14" i="13" s="1"/>
  <c r="G57" i="13" s="1"/>
  <c r="G117" i="13" s="1"/>
  <c r="AS7" i="13"/>
  <c r="M14" i="13" s="1"/>
  <c r="M57" i="13" s="1"/>
  <c r="M117" i="13" s="1"/>
  <c r="R117" i="13" s="1"/>
  <c r="AN7" i="13"/>
  <c r="H14" i="13" s="1"/>
  <c r="H57" i="13" s="1"/>
  <c r="H117" i="13" s="1"/>
  <c r="O117" i="13" s="1"/>
  <c r="AR7" i="13"/>
  <c r="L14" i="13" s="1"/>
  <c r="L57" i="13" s="1"/>
  <c r="L117" i="13" s="1"/>
  <c r="AQ7" i="13"/>
  <c r="K14" i="13" s="1"/>
  <c r="K57" i="13" s="1"/>
  <c r="K117" i="13" s="1"/>
  <c r="AK7" i="13"/>
  <c r="E14" i="13" s="1"/>
  <c r="E57" i="13" s="1"/>
  <c r="E117" i="13" s="1"/>
  <c r="AL7" i="13"/>
  <c r="F14" i="13" s="1"/>
  <c r="F57" i="13" s="1"/>
  <c r="F117" i="13" s="1"/>
  <c r="AM6" i="13"/>
  <c r="G13" i="13" s="1"/>
  <c r="AP6" i="13"/>
  <c r="J13" i="13" s="1"/>
  <c r="AQ6" i="13"/>
  <c r="K13" i="13" s="1"/>
  <c r="AK6" i="13"/>
  <c r="E13" i="13" s="1"/>
  <c r="AR6" i="13"/>
  <c r="L13" i="13" s="1"/>
  <c r="AS6" i="13"/>
  <c r="M13" i="13" s="1"/>
  <c r="AO6" i="13"/>
  <c r="I13" i="13" s="1"/>
  <c r="AL6" i="13"/>
  <c r="F13" i="13" s="1"/>
  <c r="AN6" i="13"/>
  <c r="H13" i="13" s="1"/>
  <c r="Z10" i="9"/>
  <c r="AB10" i="9"/>
  <c r="AH10" i="9"/>
  <c r="AJ10" i="9"/>
  <c r="X10" i="9"/>
  <c r="D10" i="9"/>
  <c r="D31" i="9" s="1"/>
  <c r="X31" i="9" s="1"/>
  <c r="E10" i="9"/>
  <c r="E31" i="9" s="1"/>
  <c r="Y31" i="9" s="1"/>
  <c r="F10" i="9"/>
  <c r="F31" i="9" s="1"/>
  <c r="G10" i="9"/>
  <c r="G31" i="9" s="1"/>
  <c r="H10" i="9"/>
  <c r="H31" i="9" s="1"/>
  <c r="I10" i="9"/>
  <c r="I31" i="9" s="1"/>
  <c r="J10" i="9"/>
  <c r="J31" i="9" s="1"/>
  <c r="AD31" i="9" s="1"/>
  <c r="K10" i="9"/>
  <c r="K31" i="9" s="1"/>
  <c r="AE31" i="9" s="1"/>
  <c r="L10" i="9"/>
  <c r="L31" i="9" s="1"/>
  <c r="AF31" i="9" s="1"/>
  <c r="M10" i="9"/>
  <c r="M31" i="9" s="1"/>
  <c r="AG31" i="9" s="1"/>
  <c r="C5" i="13" s="1"/>
  <c r="O5" i="13" s="1"/>
  <c r="AK5" i="13" s="1"/>
  <c r="E12" i="13" s="1"/>
  <c r="N10" i="9"/>
  <c r="N31" i="9" s="1"/>
  <c r="O10" i="9"/>
  <c r="O31" i="9" s="1"/>
  <c r="P10" i="9"/>
  <c r="P31" i="9" s="1"/>
  <c r="Q10" i="9"/>
  <c r="Q31" i="9" s="1"/>
  <c r="R10" i="9"/>
  <c r="R31" i="9" s="1"/>
  <c r="AL31" i="9" s="1"/>
  <c r="H5" i="13" s="1"/>
  <c r="T5" i="13" s="1"/>
  <c r="AP5" i="13" s="1"/>
  <c r="J12" i="13" s="1"/>
  <c r="S10" i="9"/>
  <c r="S31" i="9" s="1"/>
  <c r="AM31" i="9" s="1"/>
  <c r="I5" i="13" s="1"/>
  <c r="U5" i="13" s="1"/>
  <c r="AQ5" i="13" s="1"/>
  <c r="K12" i="13" s="1"/>
  <c r="T10" i="9"/>
  <c r="T31" i="9" s="1"/>
  <c r="AN31" i="9" s="1"/>
  <c r="J5" i="13" s="1"/>
  <c r="V5" i="13" s="1"/>
  <c r="AR5" i="13" s="1"/>
  <c r="L12" i="13" s="1"/>
  <c r="U10" i="9"/>
  <c r="U31" i="9" s="1"/>
  <c r="AO31" i="9" s="1"/>
  <c r="K5" i="13" s="1"/>
  <c r="W5" i="13" s="1"/>
  <c r="AS5" i="13" s="1"/>
  <c r="M12" i="13" s="1"/>
  <c r="C10" i="9"/>
  <c r="C31" i="9" s="1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AL6" i="9"/>
  <c r="AM6" i="9"/>
  <c r="AN6" i="9"/>
  <c r="AO6" i="9"/>
  <c r="X7" i="9"/>
  <c r="Y7" i="9"/>
  <c r="Z7" i="9"/>
  <c r="AA7" i="9"/>
  <c r="AB7" i="9"/>
  <c r="AC7" i="9"/>
  <c r="AD7" i="9"/>
  <c r="AE7" i="9"/>
  <c r="AF7" i="9"/>
  <c r="AG7" i="9"/>
  <c r="AH7" i="9"/>
  <c r="AI7" i="9"/>
  <c r="AJ7" i="9"/>
  <c r="AK7" i="9"/>
  <c r="AL7" i="9"/>
  <c r="AM7" i="9"/>
  <c r="AN7" i="9"/>
  <c r="AO7" i="9"/>
  <c r="X8" i="9"/>
  <c r="Y8" i="9"/>
  <c r="Z8" i="9"/>
  <c r="AA8" i="9"/>
  <c r="AB8" i="9"/>
  <c r="AC8" i="9"/>
  <c r="AD8" i="9"/>
  <c r="AE8" i="9"/>
  <c r="AF8" i="9"/>
  <c r="AG8" i="9"/>
  <c r="AH8" i="9"/>
  <c r="AI8" i="9"/>
  <c r="AJ8" i="9"/>
  <c r="AK8" i="9"/>
  <c r="AL8" i="9"/>
  <c r="AM8" i="9"/>
  <c r="AN8" i="9"/>
  <c r="AO8" i="9"/>
  <c r="X9" i="9"/>
  <c r="Y9" i="9"/>
  <c r="Z9" i="9"/>
  <c r="AA9" i="9"/>
  <c r="AB9" i="9"/>
  <c r="AC9" i="9"/>
  <c r="AD9" i="9"/>
  <c r="AE9" i="9"/>
  <c r="AF9" i="9"/>
  <c r="AG9" i="9"/>
  <c r="AH9" i="9"/>
  <c r="AI9" i="9"/>
  <c r="AJ9" i="9"/>
  <c r="AK9" i="9"/>
  <c r="AL9" i="9"/>
  <c r="AM9" i="9"/>
  <c r="AN9" i="9"/>
  <c r="AO9" i="9"/>
  <c r="X11" i="9"/>
  <c r="Y11" i="9"/>
  <c r="Z11" i="9"/>
  <c r="AA11" i="9"/>
  <c r="AB11" i="9"/>
  <c r="AC11" i="9"/>
  <c r="AD11" i="9"/>
  <c r="AE11" i="9"/>
  <c r="AF11" i="9"/>
  <c r="AG11" i="9"/>
  <c r="AH11" i="9"/>
  <c r="AI11" i="9"/>
  <c r="AJ11" i="9"/>
  <c r="AK11" i="9"/>
  <c r="AL11" i="9"/>
  <c r="AM11" i="9"/>
  <c r="AN11" i="9"/>
  <c r="AO11" i="9"/>
  <c r="X12" i="9"/>
  <c r="Y12" i="9"/>
  <c r="Z12" i="9"/>
  <c r="AA12" i="9"/>
  <c r="AB12" i="9"/>
  <c r="AC12" i="9"/>
  <c r="AD12" i="9"/>
  <c r="AE12" i="9"/>
  <c r="AF12" i="9"/>
  <c r="AG12" i="9"/>
  <c r="AH12" i="9"/>
  <c r="AI12" i="9"/>
  <c r="AJ12" i="9"/>
  <c r="AK12" i="9"/>
  <c r="AL12" i="9"/>
  <c r="AM12" i="9"/>
  <c r="AN12" i="9"/>
  <c r="AO12" i="9"/>
  <c r="X13" i="9"/>
  <c r="Y13" i="9"/>
  <c r="Z13" i="9"/>
  <c r="AA13" i="9"/>
  <c r="AB13" i="9"/>
  <c r="AC13" i="9"/>
  <c r="AD13" i="9"/>
  <c r="AE13" i="9"/>
  <c r="AF13" i="9"/>
  <c r="AG13" i="9"/>
  <c r="AH13" i="9"/>
  <c r="AI13" i="9"/>
  <c r="AJ13" i="9"/>
  <c r="AK13" i="9"/>
  <c r="AL13" i="9"/>
  <c r="AM13" i="9"/>
  <c r="AN13" i="9"/>
  <c r="AO13" i="9"/>
  <c r="X14" i="9"/>
  <c r="Y14" i="9"/>
  <c r="Z14" i="9"/>
  <c r="AA14" i="9"/>
  <c r="AB14" i="9"/>
  <c r="AC14" i="9"/>
  <c r="AD14" i="9"/>
  <c r="AE14" i="9"/>
  <c r="AF14" i="9"/>
  <c r="AG14" i="9"/>
  <c r="AH14" i="9"/>
  <c r="AI14" i="9"/>
  <c r="AJ14" i="9"/>
  <c r="AK14" i="9"/>
  <c r="AL14" i="9"/>
  <c r="AM14" i="9"/>
  <c r="AN14" i="9"/>
  <c r="AO14" i="9"/>
  <c r="X15" i="9"/>
  <c r="Y15" i="9"/>
  <c r="Z15" i="9"/>
  <c r="AA15" i="9"/>
  <c r="AB15" i="9"/>
  <c r="AC15" i="9"/>
  <c r="AD15" i="9"/>
  <c r="AE15" i="9"/>
  <c r="AF15" i="9"/>
  <c r="AG15" i="9"/>
  <c r="AH15" i="9"/>
  <c r="AI15" i="9"/>
  <c r="AJ15" i="9"/>
  <c r="AK15" i="9"/>
  <c r="AL15" i="9"/>
  <c r="AM15" i="9"/>
  <c r="AN15" i="9"/>
  <c r="AO15" i="9"/>
  <c r="X16" i="9"/>
  <c r="Y16" i="9"/>
  <c r="Z16" i="9"/>
  <c r="AA16" i="9"/>
  <c r="AB16" i="9"/>
  <c r="AC16" i="9"/>
  <c r="AD16" i="9"/>
  <c r="AE16" i="9"/>
  <c r="AF16" i="9"/>
  <c r="AG16" i="9"/>
  <c r="AH16" i="9"/>
  <c r="AI16" i="9"/>
  <c r="AJ16" i="9"/>
  <c r="AK16" i="9"/>
  <c r="AL16" i="9"/>
  <c r="AM16" i="9"/>
  <c r="AN16" i="9"/>
  <c r="AO16" i="9"/>
  <c r="X17" i="9"/>
  <c r="Y17" i="9"/>
  <c r="Z17" i="9"/>
  <c r="AA17" i="9"/>
  <c r="AB17" i="9"/>
  <c r="AC17" i="9"/>
  <c r="AD17" i="9"/>
  <c r="AE17" i="9"/>
  <c r="AF17" i="9"/>
  <c r="AG17" i="9"/>
  <c r="AH17" i="9"/>
  <c r="AI17" i="9"/>
  <c r="AJ17" i="9"/>
  <c r="AK17" i="9"/>
  <c r="AL17" i="9"/>
  <c r="AM17" i="9"/>
  <c r="AN17" i="9"/>
  <c r="AO17" i="9"/>
  <c r="X18" i="9"/>
  <c r="Y18" i="9"/>
  <c r="Z18" i="9"/>
  <c r="AA18" i="9"/>
  <c r="AB18" i="9"/>
  <c r="AC18" i="9"/>
  <c r="AD18" i="9"/>
  <c r="AE18" i="9"/>
  <c r="AF18" i="9"/>
  <c r="AG18" i="9"/>
  <c r="AH18" i="9"/>
  <c r="AI18" i="9"/>
  <c r="AJ18" i="9"/>
  <c r="AK18" i="9"/>
  <c r="AL18" i="9"/>
  <c r="AM18" i="9"/>
  <c r="AN18" i="9"/>
  <c r="AO18" i="9"/>
  <c r="X19" i="9"/>
  <c r="Y19" i="9"/>
  <c r="Z19" i="9"/>
  <c r="AA19" i="9"/>
  <c r="AB19" i="9"/>
  <c r="AC19" i="9"/>
  <c r="AD19" i="9"/>
  <c r="AE19" i="9"/>
  <c r="AF19" i="9"/>
  <c r="AG19" i="9"/>
  <c r="AH19" i="9"/>
  <c r="AI19" i="9"/>
  <c r="AJ19" i="9"/>
  <c r="AK19" i="9"/>
  <c r="AL19" i="9"/>
  <c r="AM19" i="9"/>
  <c r="AN19" i="9"/>
  <c r="AO19" i="9"/>
  <c r="X20" i="9"/>
  <c r="Y20" i="9"/>
  <c r="Z20" i="9"/>
  <c r="AA20" i="9"/>
  <c r="AB20" i="9"/>
  <c r="AC20" i="9"/>
  <c r="AD20" i="9"/>
  <c r="AE20" i="9"/>
  <c r="AF20" i="9"/>
  <c r="AG20" i="9"/>
  <c r="AH20" i="9"/>
  <c r="AI20" i="9"/>
  <c r="AJ20" i="9"/>
  <c r="AK20" i="9"/>
  <c r="AL20" i="9"/>
  <c r="AM20" i="9"/>
  <c r="AN20" i="9"/>
  <c r="AO20" i="9"/>
  <c r="X21" i="9"/>
  <c r="Y21" i="9"/>
  <c r="Z21" i="9"/>
  <c r="AA21" i="9"/>
  <c r="AB21" i="9"/>
  <c r="AC21" i="9"/>
  <c r="AD21" i="9"/>
  <c r="AE21" i="9"/>
  <c r="AF21" i="9"/>
  <c r="AG21" i="9"/>
  <c r="AH21" i="9"/>
  <c r="AI21" i="9"/>
  <c r="AJ21" i="9"/>
  <c r="AK21" i="9"/>
  <c r="AL21" i="9"/>
  <c r="AM21" i="9"/>
  <c r="AN21" i="9"/>
  <c r="AO21" i="9"/>
  <c r="X22" i="9"/>
  <c r="Y22" i="9"/>
  <c r="Z22" i="9"/>
  <c r="AA22" i="9"/>
  <c r="AB22" i="9"/>
  <c r="AC22" i="9"/>
  <c r="AD22" i="9"/>
  <c r="AE22" i="9"/>
  <c r="AF22" i="9"/>
  <c r="AG22" i="9"/>
  <c r="AH22" i="9"/>
  <c r="AI22" i="9"/>
  <c r="AJ22" i="9"/>
  <c r="AK22" i="9"/>
  <c r="AL22" i="9"/>
  <c r="AM22" i="9"/>
  <c r="AN22" i="9"/>
  <c r="AO22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X24" i="9"/>
  <c r="Y24" i="9"/>
  <c r="Z24" i="9"/>
  <c r="AA24" i="9"/>
  <c r="AB24" i="9"/>
  <c r="AC24" i="9"/>
  <c r="AD24" i="9"/>
  <c r="AE24" i="9"/>
  <c r="AF24" i="9"/>
  <c r="AG24" i="9"/>
  <c r="AH24" i="9"/>
  <c r="AI24" i="9"/>
  <c r="AJ24" i="9"/>
  <c r="AK24" i="9"/>
  <c r="AL24" i="9"/>
  <c r="AM24" i="9"/>
  <c r="AN24" i="9"/>
  <c r="AO24" i="9"/>
  <c r="X25" i="9"/>
  <c r="Y25" i="9"/>
  <c r="Z25" i="9"/>
  <c r="AA25" i="9"/>
  <c r="AB25" i="9"/>
  <c r="AC25" i="9"/>
  <c r="AD25" i="9"/>
  <c r="AE25" i="9"/>
  <c r="AF25" i="9"/>
  <c r="AG25" i="9"/>
  <c r="AH25" i="9"/>
  <c r="AI25" i="9"/>
  <c r="AJ25" i="9"/>
  <c r="AK25" i="9"/>
  <c r="AL25" i="9"/>
  <c r="AM25" i="9"/>
  <c r="AN25" i="9"/>
  <c r="AO25" i="9"/>
  <c r="X26" i="9"/>
  <c r="Y26" i="9"/>
  <c r="Z26" i="9"/>
  <c r="AA26" i="9"/>
  <c r="AB26" i="9"/>
  <c r="AC26" i="9"/>
  <c r="AD26" i="9"/>
  <c r="AE26" i="9"/>
  <c r="AF26" i="9"/>
  <c r="AG26" i="9"/>
  <c r="AH26" i="9"/>
  <c r="AI26" i="9"/>
  <c r="AJ26" i="9"/>
  <c r="AK26" i="9"/>
  <c r="AL26" i="9"/>
  <c r="AM26" i="9"/>
  <c r="AN26" i="9"/>
  <c r="AO26" i="9"/>
  <c r="X27" i="9"/>
  <c r="Y27" i="9"/>
  <c r="Z27" i="9"/>
  <c r="AA27" i="9"/>
  <c r="AB27" i="9"/>
  <c r="AC27" i="9"/>
  <c r="AD27" i="9"/>
  <c r="AE27" i="9"/>
  <c r="AF27" i="9"/>
  <c r="AG27" i="9"/>
  <c r="AH27" i="9"/>
  <c r="AI27" i="9"/>
  <c r="AJ27" i="9"/>
  <c r="AK27" i="9"/>
  <c r="AL27" i="9"/>
  <c r="AM27" i="9"/>
  <c r="AN27" i="9"/>
  <c r="AO27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AL5" i="9"/>
  <c r="AM5" i="9"/>
  <c r="AN5" i="9"/>
  <c r="AO5" i="9"/>
  <c r="X5" i="9"/>
  <c r="AH31" i="9" l="1"/>
  <c r="D5" i="13" s="1"/>
  <c r="P5" i="13" s="1"/>
  <c r="AL5" i="13" s="1"/>
  <c r="F12" i="13" s="1"/>
  <c r="Z31" i="9"/>
  <c r="AK10" i="9"/>
  <c r="AC10" i="9"/>
  <c r="AI10" i="9"/>
  <c r="AA10" i="9"/>
  <c r="AO10" i="9"/>
  <c r="AG10" i="9"/>
  <c r="Y10" i="9"/>
  <c r="AK31" i="9"/>
  <c r="G5" i="13" s="1"/>
  <c r="S5" i="13" s="1"/>
  <c r="AO5" i="13" s="1"/>
  <c r="I12" i="13" s="1"/>
  <c r="AC31" i="9"/>
  <c r="AN10" i="9"/>
  <c r="AF10" i="9"/>
  <c r="AJ31" i="9"/>
  <c r="F5" i="13" s="1"/>
  <c r="R5" i="13" s="1"/>
  <c r="AN5" i="13" s="1"/>
  <c r="H12" i="13" s="1"/>
  <c r="AB31" i="9"/>
  <c r="AM10" i="9"/>
  <c r="AE10" i="9"/>
  <c r="AI31" i="9"/>
  <c r="E5" i="13" s="1"/>
  <c r="Q5" i="13" s="1"/>
  <c r="AM5" i="13" s="1"/>
  <c r="G12" i="13" s="1"/>
  <c r="AA31" i="9"/>
  <c r="AL10" i="9"/>
  <c r="AD10" i="9"/>
  <c r="P117" i="13"/>
  <c r="M65" i="13"/>
  <c r="M125" i="13" s="1"/>
  <c r="R125" i="13" s="1"/>
  <c r="M58" i="13"/>
  <c r="M118" i="13" s="1"/>
  <c r="R118" i="13" s="1"/>
  <c r="M64" i="13"/>
  <c r="M124" i="13" s="1"/>
  <c r="R124" i="13" s="1"/>
  <c r="M51" i="13"/>
  <c r="M111" i="13" s="1"/>
  <c r="R111" i="13" s="1"/>
  <c r="M20" i="13"/>
  <c r="M80" i="13" s="1"/>
  <c r="R80" i="13" s="1"/>
  <c r="M40" i="13"/>
  <c r="M100" i="13" s="1"/>
  <c r="R100" i="13" s="1"/>
  <c r="M60" i="13"/>
  <c r="M120" i="13" s="1"/>
  <c r="R120" i="13" s="1"/>
  <c r="M21" i="13"/>
  <c r="M81" i="13" s="1"/>
  <c r="R81" i="13" s="1"/>
  <c r="M66" i="13"/>
  <c r="M126" i="13" s="1"/>
  <c r="R126" i="13" s="1"/>
  <c r="M42" i="13"/>
  <c r="M102" i="13" s="1"/>
  <c r="R102" i="13" s="1"/>
  <c r="M45" i="13"/>
  <c r="M105" i="13" s="1"/>
  <c r="R105" i="13" s="1"/>
  <c r="M26" i="13"/>
  <c r="M86" i="13" s="1"/>
  <c r="R86" i="13" s="1"/>
  <c r="M18" i="13"/>
  <c r="M78" i="13" s="1"/>
  <c r="R78" i="13" s="1"/>
  <c r="M63" i="13"/>
  <c r="M123" i="13" s="1"/>
  <c r="R123" i="13" s="1"/>
  <c r="M32" i="13"/>
  <c r="M92" i="13" s="1"/>
  <c r="R92" i="13" s="1"/>
  <c r="M17" i="13"/>
  <c r="M77" i="13" s="1"/>
  <c r="R77" i="13" s="1"/>
  <c r="M37" i="13"/>
  <c r="M97" i="13" s="1"/>
  <c r="R97" i="13" s="1"/>
  <c r="M28" i="13"/>
  <c r="M88" i="13" s="1"/>
  <c r="R88" i="13" s="1"/>
  <c r="M47" i="13"/>
  <c r="M107" i="13" s="1"/>
  <c r="R107" i="13" s="1"/>
  <c r="M52" i="13"/>
  <c r="M112" i="13" s="1"/>
  <c r="R112" i="13" s="1"/>
  <c r="M46" i="13"/>
  <c r="M106" i="13" s="1"/>
  <c r="R106" i="13" s="1"/>
  <c r="M30" i="13"/>
  <c r="M90" i="13" s="1"/>
  <c r="R90" i="13" s="1"/>
  <c r="M44" i="13"/>
  <c r="M104" i="13" s="1"/>
  <c r="R104" i="13" s="1"/>
  <c r="M36" i="13"/>
  <c r="M96" i="13" s="1"/>
  <c r="R96" i="13" s="1"/>
  <c r="M39" i="13"/>
  <c r="M99" i="13" s="1"/>
  <c r="R99" i="13" s="1"/>
  <c r="M50" i="13"/>
  <c r="M110" i="13" s="1"/>
  <c r="R110" i="13" s="1"/>
  <c r="M59" i="13"/>
  <c r="M119" i="13" s="1"/>
  <c r="R119" i="13" s="1"/>
  <c r="M61" i="13"/>
  <c r="M121" i="13" s="1"/>
  <c r="R121" i="13" s="1"/>
  <c r="M23" i="13"/>
  <c r="M83" i="13" s="1"/>
  <c r="R83" i="13" s="1"/>
  <c r="M31" i="13"/>
  <c r="M91" i="13" s="1"/>
  <c r="R91" i="13" s="1"/>
  <c r="M56" i="13"/>
  <c r="M116" i="13" s="1"/>
  <c r="R116" i="13" s="1"/>
  <c r="M53" i="13"/>
  <c r="M113" i="13" s="1"/>
  <c r="R113" i="13" s="1"/>
  <c r="M19" i="13"/>
  <c r="M79" i="13" s="1"/>
  <c r="R79" i="13" s="1"/>
  <c r="M33" i="13"/>
  <c r="M93" i="13" s="1"/>
  <c r="R93" i="13" s="1"/>
  <c r="M43" i="13"/>
  <c r="M103" i="13" s="1"/>
  <c r="R103" i="13" s="1"/>
  <c r="M55" i="13"/>
  <c r="M115" i="13" s="1"/>
  <c r="R115" i="13" s="1"/>
  <c r="M24" i="13"/>
  <c r="M84" i="13" s="1"/>
  <c r="R84" i="13" s="1"/>
  <c r="M35" i="13"/>
  <c r="M95" i="13" s="1"/>
  <c r="R95" i="13" s="1"/>
  <c r="M34" i="13"/>
  <c r="M94" i="13" s="1"/>
  <c r="R94" i="13" s="1"/>
  <c r="M54" i="13"/>
  <c r="M114" i="13" s="1"/>
  <c r="R114" i="13" s="1"/>
  <c r="M41" i="13"/>
  <c r="M101" i="13" s="1"/>
  <c r="R101" i="13" s="1"/>
  <c r="M25" i="13"/>
  <c r="M85" i="13" s="1"/>
  <c r="R85" i="13" s="1"/>
  <c r="M49" i="13"/>
  <c r="M109" i="13" s="1"/>
  <c r="R109" i="13" s="1"/>
  <c r="M27" i="13"/>
  <c r="M87" i="13" s="1"/>
  <c r="R87" i="13" s="1"/>
  <c r="M62" i="13"/>
  <c r="M122" i="13" s="1"/>
  <c r="R122" i="13" s="1"/>
  <c r="M38" i="13"/>
  <c r="M98" i="13" s="1"/>
  <c r="R98" i="13" s="1"/>
  <c r="M29" i="13"/>
  <c r="M89" i="13" s="1"/>
  <c r="R89" i="13" s="1"/>
  <c r="M22" i="13"/>
  <c r="M82" i="13" s="1"/>
  <c r="R82" i="13" s="1"/>
  <c r="M48" i="13"/>
  <c r="M108" i="13" s="1"/>
  <c r="R108" i="13" s="1"/>
  <c r="I64" i="13"/>
  <c r="I124" i="13" s="1"/>
  <c r="I63" i="13"/>
  <c r="I123" i="13" s="1"/>
  <c r="I40" i="13"/>
  <c r="I100" i="13" s="1"/>
  <c r="I26" i="13"/>
  <c r="I86" i="13" s="1"/>
  <c r="I45" i="13"/>
  <c r="I105" i="13" s="1"/>
  <c r="I66" i="13"/>
  <c r="I126" i="13" s="1"/>
  <c r="I18" i="13"/>
  <c r="I78" i="13" s="1"/>
  <c r="I20" i="13"/>
  <c r="I80" i="13" s="1"/>
  <c r="I58" i="13"/>
  <c r="I118" i="13" s="1"/>
  <c r="I21" i="13"/>
  <c r="I81" i="13" s="1"/>
  <c r="I42" i="13"/>
  <c r="I102" i="13" s="1"/>
  <c r="I60" i="13"/>
  <c r="I120" i="13" s="1"/>
  <c r="I65" i="13"/>
  <c r="I125" i="13" s="1"/>
  <c r="I51" i="13"/>
  <c r="I111" i="13" s="1"/>
  <c r="N117" i="13"/>
  <c r="Q117" i="13"/>
  <c r="J50" i="13"/>
  <c r="J110" i="13" s="1"/>
  <c r="J22" i="13"/>
  <c r="J82" i="13" s="1"/>
  <c r="J44" i="13"/>
  <c r="J104" i="13" s="1"/>
  <c r="J62" i="13"/>
  <c r="J122" i="13" s="1"/>
  <c r="J38" i="13"/>
  <c r="J98" i="13" s="1"/>
  <c r="J19" i="13"/>
  <c r="J79" i="13" s="1"/>
  <c r="J17" i="13"/>
  <c r="J77" i="13" s="1"/>
  <c r="J29" i="13"/>
  <c r="J89" i="13" s="1"/>
  <c r="J53" i="13"/>
  <c r="J113" i="13" s="1"/>
  <c r="J24" i="13"/>
  <c r="J84" i="13" s="1"/>
  <c r="J27" i="13"/>
  <c r="J87" i="13" s="1"/>
  <c r="J28" i="13"/>
  <c r="J88" i="13" s="1"/>
  <c r="J55" i="13"/>
  <c r="J115" i="13" s="1"/>
  <c r="J37" i="13"/>
  <c r="J97" i="13" s="1"/>
  <c r="J59" i="13"/>
  <c r="J119" i="13" s="1"/>
  <c r="J43" i="13"/>
  <c r="J103" i="13" s="1"/>
  <c r="J25" i="13"/>
  <c r="J85" i="13" s="1"/>
  <c r="J35" i="13"/>
  <c r="J95" i="13" s="1"/>
  <c r="J31" i="13"/>
  <c r="J91" i="13" s="1"/>
  <c r="J41" i="13"/>
  <c r="J101" i="13" s="1"/>
  <c r="J32" i="13"/>
  <c r="J92" i="13" s="1"/>
  <c r="J48" i="13"/>
  <c r="J108" i="13" s="1"/>
  <c r="J49" i="13"/>
  <c r="J109" i="13" s="1"/>
  <c r="J54" i="13"/>
  <c r="J114" i="13" s="1"/>
  <c r="J46" i="13"/>
  <c r="J106" i="13" s="1"/>
  <c r="J30" i="13"/>
  <c r="J90" i="13" s="1"/>
  <c r="J34" i="13"/>
  <c r="J94" i="13" s="1"/>
  <c r="J47" i="13"/>
  <c r="J107" i="13" s="1"/>
  <c r="J39" i="13"/>
  <c r="J99" i="13" s="1"/>
  <c r="J23" i="13"/>
  <c r="J83" i="13" s="1"/>
  <c r="J56" i="13"/>
  <c r="J116" i="13" s="1"/>
  <c r="J52" i="13"/>
  <c r="J112" i="13" s="1"/>
  <c r="J61" i="13"/>
  <c r="J121" i="13" s="1"/>
  <c r="J36" i="13"/>
  <c r="J96" i="13" s="1"/>
  <c r="J33" i="13"/>
  <c r="J93" i="13" s="1"/>
  <c r="L64" i="13"/>
  <c r="L124" i="13" s="1"/>
  <c r="L60" i="13"/>
  <c r="L120" i="13" s="1"/>
  <c r="L51" i="13"/>
  <c r="L111" i="13" s="1"/>
  <c r="L20" i="13"/>
  <c r="L80" i="13" s="1"/>
  <c r="L26" i="13"/>
  <c r="L86" i="13" s="1"/>
  <c r="L42" i="13"/>
  <c r="L102" i="13" s="1"/>
  <c r="L40" i="13"/>
  <c r="L100" i="13" s="1"/>
  <c r="L65" i="13"/>
  <c r="L125" i="13" s="1"/>
  <c r="L63" i="13"/>
  <c r="L123" i="13" s="1"/>
  <c r="L58" i="13"/>
  <c r="L118" i="13" s="1"/>
  <c r="L21" i="13"/>
  <c r="L81" i="13" s="1"/>
  <c r="L18" i="13"/>
  <c r="L78" i="13" s="1"/>
  <c r="L45" i="13"/>
  <c r="L105" i="13" s="1"/>
  <c r="L66" i="13"/>
  <c r="L126" i="13" s="1"/>
  <c r="F17" i="13"/>
  <c r="F77" i="13" s="1"/>
  <c r="F22" i="13"/>
  <c r="F82" i="13" s="1"/>
  <c r="F39" i="13"/>
  <c r="F99" i="13" s="1"/>
  <c r="F37" i="13"/>
  <c r="F97" i="13" s="1"/>
  <c r="F56" i="13"/>
  <c r="F116" i="13" s="1"/>
  <c r="F55" i="13"/>
  <c r="F115" i="13" s="1"/>
  <c r="F50" i="13"/>
  <c r="F110" i="13" s="1"/>
  <c r="F44" i="13"/>
  <c r="F104" i="13" s="1"/>
  <c r="F30" i="13"/>
  <c r="F90" i="13" s="1"/>
  <c r="F53" i="13"/>
  <c r="F113" i="13" s="1"/>
  <c r="F33" i="13"/>
  <c r="F93" i="13" s="1"/>
  <c r="F36" i="13"/>
  <c r="F96" i="13" s="1"/>
  <c r="F31" i="13"/>
  <c r="F91" i="13" s="1"/>
  <c r="F46" i="13"/>
  <c r="F106" i="13" s="1"/>
  <c r="F59" i="13"/>
  <c r="F119" i="13" s="1"/>
  <c r="F54" i="13"/>
  <c r="F114" i="13" s="1"/>
  <c r="F35" i="13"/>
  <c r="F95" i="13" s="1"/>
  <c r="F38" i="13"/>
  <c r="F98" i="13" s="1"/>
  <c r="F19" i="13"/>
  <c r="F79" i="13" s="1"/>
  <c r="F41" i="13"/>
  <c r="F101" i="13" s="1"/>
  <c r="F43" i="13"/>
  <c r="F103" i="13" s="1"/>
  <c r="F49" i="13"/>
  <c r="F109" i="13" s="1"/>
  <c r="F47" i="13"/>
  <c r="F107" i="13" s="1"/>
  <c r="F24" i="13"/>
  <c r="F84" i="13" s="1"/>
  <c r="F29" i="13"/>
  <c r="F89" i="13" s="1"/>
  <c r="F48" i="13"/>
  <c r="F108" i="13" s="1"/>
  <c r="F62" i="13"/>
  <c r="F122" i="13" s="1"/>
  <c r="F32" i="13"/>
  <c r="F92" i="13" s="1"/>
  <c r="F23" i="13"/>
  <c r="F83" i="13" s="1"/>
  <c r="F25" i="13"/>
  <c r="F85" i="13" s="1"/>
  <c r="F61" i="13"/>
  <c r="F121" i="13" s="1"/>
  <c r="F52" i="13"/>
  <c r="F112" i="13" s="1"/>
  <c r="F27" i="13"/>
  <c r="F87" i="13" s="1"/>
  <c r="F28" i="13"/>
  <c r="F88" i="13" s="1"/>
  <c r="F34" i="13"/>
  <c r="F94" i="13" s="1"/>
  <c r="E21" i="13"/>
  <c r="E81" i="13" s="1"/>
  <c r="E51" i="13"/>
  <c r="E111" i="13" s="1"/>
  <c r="E20" i="13"/>
  <c r="E80" i="13" s="1"/>
  <c r="E45" i="13"/>
  <c r="E105" i="13" s="1"/>
  <c r="E58" i="13"/>
  <c r="E118" i="13" s="1"/>
  <c r="E18" i="13"/>
  <c r="E78" i="13" s="1"/>
  <c r="E26" i="13"/>
  <c r="E86" i="13" s="1"/>
  <c r="E66" i="13"/>
  <c r="E126" i="13" s="1"/>
  <c r="E60" i="13"/>
  <c r="E120" i="13" s="1"/>
  <c r="E65" i="13"/>
  <c r="E125" i="13" s="1"/>
  <c r="E40" i="13"/>
  <c r="E100" i="13" s="1"/>
  <c r="E63" i="13"/>
  <c r="E123" i="13" s="1"/>
  <c r="E42" i="13"/>
  <c r="E102" i="13" s="1"/>
  <c r="E64" i="13"/>
  <c r="E124" i="13" s="1"/>
  <c r="L30" i="13"/>
  <c r="L90" i="13" s="1"/>
  <c r="L34" i="13"/>
  <c r="L94" i="13" s="1"/>
  <c r="L48" i="13"/>
  <c r="L108" i="13" s="1"/>
  <c r="L44" i="13"/>
  <c r="L104" i="13" s="1"/>
  <c r="L62" i="13"/>
  <c r="L122" i="13" s="1"/>
  <c r="L56" i="13"/>
  <c r="L116" i="13" s="1"/>
  <c r="L23" i="13"/>
  <c r="L83" i="13" s="1"/>
  <c r="L61" i="13"/>
  <c r="L121" i="13" s="1"/>
  <c r="L25" i="13"/>
  <c r="L85" i="13" s="1"/>
  <c r="L46" i="13"/>
  <c r="L106" i="13" s="1"/>
  <c r="L31" i="13"/>
  <c r="L91" i="13" s="1"/>
  <c r="L32" i="13"/>
  <c r="L92" i="13" s="1"/>
  <c r="L17" i="13"/>
  <c r="L77" i="13" s="1"/>
  <c r="L59" i="13"/>
  <c r="L119" i="13" s="1"/>
  <c r="L41" i="13"/>
  <c r="L101" i="13" s="1"/>
  <c r="L24" i="13"/>
  <c r="L84" i="13" s="1"/>
  <c r="L27" i="13"/>
  <c r="L87" i="13" s="1"/>
  <c r="L50" i="13"/>
  <c r="L110" i="13" s="1"/>
  <c r="L36" i="13"/>
  <c r="L96" i="13" s="1"/>
  <c r="L39" i="13"/>
  <c r="L99" i="13" s="1"/>
  <c r="L33" i="13"/>
  <c r="L93" i="13" s="1"/>
  <c r="L55" i="13"/>
  <c r="L115" i="13" s="1"/>
  <c r="L53" i="13"/>
  <c r="L113" i="13" s="1"/>
  <c r="L54" i="13"/>
  <c r="L114" i="13" s="1"/>
  <c r="L19" i="13"/>
  <c r="L79" i="13" s="1"/>
  <c r="L37" i="13"/>
  <c r="L97" i="13" s="1"/>
  <c r="L28" i="13"/>
  <c r="L88" i="13" s="1"/>
  <c r="L35" i="13"/>
  <c r="L95" i="13" s="1"/>
  <c r="L43" i="13"/>
  <c r="L103" i="13" s="1"/>
  <c r="L49" i="13"/>
  <c r="L109" i="13" s="1"/>
  <c r="L22" i="13"/>
  <c r="L82" i="13" s="1"/>
  <c r="L52" i="13"/>
  <c r="L112" i="13" s="1"/>
  <c r="L47" i="13"/>
  <c r="L107" i="13" s="1"/>
  <c r="L29" i="13"/>
  <c r="L89" i="13" s="1"/>
  <c r="L38" i="13"/>
  <c r="L98" i="13" s="1"/>
  <c r="K26" i="13"/>
  <c r="K86" i="13" s="1"/>
  <c r="K66" i="13"/>
  <c r="K126" i="13" s="1"/>
  <c r="K51" i="13"/>
  <c r="K111" i="13" s="1"/>
  <c r="K40" i="13"/>
  <c r="K100" i="13" s="1"/>
  <c r="P100" i="13" s="1"/>
  <c r="K18" i="13"/>
  <c r="K78" i="13" s="1"/>
  <c r="K60" i="13"/>
  <c r="K120" i="13" s="1"/>
  <c r="K64" i="13"/>
  <c r="K124" i="13" s="1"/>
  <c r="P124" i="13" s="1"/>
  <c r="K58" i="13"/>
  <c r="K118" i="13" s="1"/>
  <c r="P118" i="13" s="1"/>
  <c r="K20" i="13"/>
  <c r="K80" i="13" s="1"/>
  <c r="K21" i="13"/>
  <c r="K81" i="13" s="1"/>
  <c r="K45" i="13"/>
  <c r="K105" i="13" s="1"/>
  <c r="P105" i="13" s="1"/>
  <c r="K65" i="13"/>
  <c r="K125" i="13" s="1"/>
  <c r="K63" i="13"/>
  <c r="K123" i="13" s="1"/>
  <c r="K42" i="13"/>
  <c r="K102" i="13" s="1"/>
  <c r="P102" i="13" s="1"/>
  <c r="E41" i="13"/>
  <c r="E101" i="13" s="1"/>
  <c r="E31" i="13"/>
  <c r="E91" i="13" s="1"/>
  <c r="E43" i="13"/>
  <c r="E103" i="13" s="1"/>
  <c r="E48" i="13"/>
  <c r="E108" i="13" s="1"/>
  <c r="E56" i="13"/>
  <c r="E116" i="13" s="1"/>
  <c r="E23" i="13"/>
  <c r="E83" i="13" s="1"/>
  <c r="E61" i="13"/>
  <c r="E121" i="13" s="1"/>
  <c r="E49" i="13"/>
  <c r="E109" i="13" s="1"/>
  <c r="E39" i="13"/>
  <c r="E99" i="13" s="1"/>
  <c r="E30" i="13"/>
  <c r="E90" i="13" s="1"/>
  <c r="E32" i="13"/>
  <c r="E92" i="13" s="1"/>
  <c r="E33" i="13"/>
  <c r="E93" i="13" s="1"/>
  <c r="E24" i="13"/>
  <c r="E84" i="13" s="1"/>
  <c r="E27" i="13"/>
  <c r="E87" i="13" s="1"/>
  <c r="E47" i="13"/>
  <c r="E107" i="13" s="1"/>
  <c r="E38" i="13"/>
  <c r="E98" i="13" s="1"/>
  <c r="E59" i="13"/>
  <c r="E119" i="13" s="1"/>
  <c r="E54" i="13"/>
  <c r="E114" i="13" s="1"/>
  <c r="E35" i="13"/>
  <c r="E95" i="13" s="1"/>
  <c r="E52" i="13"/>
  <c r="E112" i="13" s="1"/>
  <c r="E46" i="13"/>
  <c r="E106" i="13" s="1"/>
  <c r="E62" i="13"/>
  <c r="E122" i="13" s="1"/>
  <c r="E17" i="13"/>
  <c r="E77" i="13" s="1"/>
  <c r="E34" i="13"/>
  <c r="E94" i="13" s="1"/>
  <c r="E55" i="13"/>
  <c r="E115" i="13" s="1"/>
  <c r="E25" i="13"/>
  <c r="E85" i="13" s="1"/>
  <c r="E28" i="13"/>
  <c r="E88" i="13" s="1"/>
  <c r="E36" i="13"/>
  <c r="E96" i="13" s="1"/>
  <c r="E22" i="13"/>
  <c r="E82" i="13" s="1"/>
  <c r="E53" i="13"/>
  <c r="E113" i="13" s="1"/>
  <c r="E29" i="13"/>
  <c r="E89" i="13" s="1"/>
  <c r="E44" i="13"/>
  <c r="E104" i="13" s="1"/>
  <c r="E37" i="13"/>
  <c r="E97" i="13" s="1"/>
  <c r="E50" i="13"/>
  <c r="E110" i="13" s="1"/>
  <c r="E19" i="13"/>
  <c r="E79" i="13" s="1"/>
  <c r="G47" i="13"/>
  <c r="G107" i="13" s="1"/>
  <c r="G25" i="13"/>
  <c r="G85" i="13" s="1"/>
  <c r="G43" i="13"/>
  <c r="G103" i="13" s="1"/>
  <c r="G38" i="13"/>
  <c r="G98" i="13" s="1"/>
  <c r="G27" i="13"/>
  <c r="G87" i="13" s="1"/>
  <c r="G46" i="13"/>
  <c r="G106" i="13" s="1"/>
  <c r="G19" i="13"/>
  <c r="G79" i="13" s="1"/>
  <c r="G56" i="13"/>
  <c r="G116" i="13" s="1"/>
  <c r="G23" i="13"/>
  <c r="G83" i="13" s="1"/>
  <c r="G34" i="13"/>
  <c r="G94" i="13" s="1"/>
  <c r="G48" i="13"/>
  <c r="G108" i="13" s="1"/>
  <c r="G37" i="13"/>
  <c r="G97" i="13" s="1"/>
  <c r="G55" i="13"/>
  <c r="G115" i="13" s="1"/>
  <c r="G31" i="13"/>
  <c r="G91" i="13" s="1"/>
  <c r="G52" i="13"/>
  <c r="G112" i="13" s="1"/>
  <c r="G33" i="13"/>
  <c r="G93" i="13" s="1"/>
  <c r="G32" i="13"/>
  <c r="G92" i="13" s="1"/>
  <c r="G39" i="13"/>
  <c r="G99" i="13" s="1"/>
  <c r="G24" i="13"/>
  <c r="G84" i="13" s="1"/>
  <c r="G49" i="13"/>
  <c r="G109" i="13" s="1"/>
  <c r="G54" i="13"/>
  <c r="G114" i="13" s="1"/>
  <c r="G59" i="13"/>
  <c r="G119" i="13" s="1"/>
  <c r="G53" i="13"/>
  <c r="G113" i="13" s="1"/>
  <c r="G44" i="13"/>
  <c r="G104" i="13" s="1"/>
  <c r="G41" i="13"/>
  <c r="G101" i="13" s="1"/>
  <c r="G30" i="13"/>
  <c r="G90" i="13" s="1"/>
  <c r="G36" i="13"/>
  <c r="G96" i="13" s="1"/>
  <c r="G29" i="13"/>
  <c r="G89" i="13" s="1"/>
  <c r="G62" i="13"/>
  <c r="G122" i="13" s="1"/>
  <c r="G17" i="13"/>
  <c r="G77" i="13" s="1"/>
  <c r="G28" i="13"/>
  <c r="G88" i="13" s="1"/>
  <c r="G50" i="13"/>
  <c r="G110" i="13" s="1"/>
  <c r="G61" i="13"/>
  <c r="G121" i="13" s="1"/>
  <c r="G22" i="13"/>
  <c r="G82" i="13" s="1"/>
  <c r="G35" i="13"/>
  <c r="G95" i="13" s="1"/>
  <c r="J20" i="13"/>
  <c r="J80" i="13" s="1"/>
  <c r="J18" i="13"/>
  <c r="J78" i="13" s="1"/>
  <c r="J42" i="13"/>
  <c r="J102" i="13" s="1"/>
  <c r="J21" i="13"/>
  <c r="J81" i="13" s="1"/>
  <c r="J65" i="13"/>
  <c r="J125" i="13" s="1"/>
  <c r="J51" i="13"/>
  <c r="J111" i="13" s="1"/>
  <c r="J40" i="13"/>
  <c r="J100" i="13" s="1"/>
  <c r="J63" i="13"/>
  <c r="J123" i="13" s="1"/>
  <c r="J60" i="13"/>
  <c r="J120" i="13" s="1"/>
  <c r="J58" i="13"/>
  <c r="J118" i="13" s="1"/>
  <c r="J64" i="13"/>
  <c r="J124" i="13" s="1"/>
  <c r="J45" i="13"/>
  <c r="J105" i="13" s="1"/>
  <c r="J26" i="13"/>
  <c r="J86" i="13" s="1"/>
  <c r="J66" i="13"/>
  <c r="J126" i="13" s="1"/>
  <c r="I43" i="13"/>
  <c r="I103" i="13" s="1"/>
  <c r="I56" i="13"/>
  <c r="I116" i="13" s="1"/>
  <c r="I36" i="13"/>
  <c r="I96" i="13" s="1"/>
  <c r="I48" i="13"/>
  <c r="I108" i="13" s="1"/>
  <c r="I38" i="13"/>
  <c r="I98" i="13" s="1"/>
  <c r="I24" i="13"/>
  <c r="I84" i="13" s="1"/>
  <c r="I30" i="13"/>
  <c r="I90" i="13" s="1"/>
  <c r="I22" i="13"/>
  <c r="I82" i="13" s="1"/>
  <c r="I52" i="13"/>
  <c r="I112" i="13" s="1"/>
  <c r="I35" i="13"/>
  <c r="I95" i="13" s="1"/>
  <c r="I32" i="13"/>
  <c r="I92" i="13" s="1"/>
  <c r="I19" i="13"/>
  <c r="I79" i="13" s="1"/>
  <c r="I49" i="13"/>
  <c r="I109" i="13" s="1"/>
  <c r="I33" i="13"/>
  <c r="I93" i="13" s="1"/>
  <c r="I27" i="13"/>
  <c r="I87" i="13" s="1"/>
  <c r="I46" i="13"/>
  <c r="I106" i="13" s="1"/>
  <c r="I25" i="13"/>
  <c r="I85" i="13" s="1"/>
  <c r="I28" i="13"/>
  <c r="I88" i="13" s="1"/>
  <c r="I53" i="13"/>
  <c r="I113" i="13" s="1"/>
  <c r="I62" i="13"/>
  <c r="I122" i="13" s="1"/>
  <c r="I31" i="13"/>
  <c r="I91" i="13" s="1"/>
  <c r="I23" i="13"/>
  <c r="I83" i="13" s="1"/>
  <c r="I47" i="13"/>
  <c r="I107" i="13" s="1"/>
  <c r="I17" i="13"/>
  <c r="I77" i="13" s="1"/>
  <c r="I55" i="13"/>
  <c r="I115" i="13" s="1"/>
  <c r="I39" i="13"/>
  <c r="I99" i="13" s="1"/>
  <c r="I37" i="13"/>
  <c r="I97" i="13" s="1"/>
  <c r="I34" i="13"/>
  <c r="I94" i="13" s="1"/>
  <c r="I41" i="13"/>
  <c r="I101" i="13" s="1"/>
  <c r="I44" i="13"/>
  <c r="I104" i="13" s="1"/>
  <c r="I61" i="13"/>
  <c r="I121" i="13" s="1"/>
  <c r="I50" i="13"/>
  <c r="I110" i="13" s="1"/>
  <c r="I59" i="13"/>
  <c r="I119" i="13" s="1"/>
  <c r="I29" i="13"/>
  <c r="I89" i="13" s="1"/>
  <c r="I54" i="13"/>
  <c r="I114" i="13" s="1"/>
  <c r="H26" i="13"/>
  <c r="H86" i="13" s="1"/>
  <c r="H58" i="13"/>
  <c r="H118" i="13" s="1"/>
  <c r="H64" i="13"/>
  <c r="H124" i="13" s="1"/>
  <c r="H66" i="13"/>
  <c r="H126" i="13" s="1"/>
  <c r="H42" i="13"/>
  <c r="H102" i="13" s="1"/>
  <c r="H45" i="13"/>
  <c r="H105" i="13" s="1"/>
  <c r="H60" i="13"/>
  <c r="H120" i="13" s="1"/>
  <c r="H63" i="13"/>
  <c r="H123" i="13" s="1"/>
  <c r="H21" i="13"/>
  <c r="H81" i="13" s="1"/>
  <c r="H18" i="13"/>
  <c r="H78" i="13" s="1"/>
  <c r="H51" i="13"/>
  <c r="H111" i="13" s="1"/>
  <c r="H20" i="13"/>
  <c r="H80" i="13" s="1"/>
  <c r="H65" i="13"/>
  <c r="H125" i="13" s="1"/>
  <c r="H40" i="13"/>
  <c r="H100" i="13" s="1"/>
  <c r="G66" i="13"/>
  <c r="G126" i="13" s="1"/>
  <c r="G21" i="13"/>
  <c r="G81" i="13" s="1"/>
  <c r="G60" i="13"/>
  <c r="G120" i="13" s="1"/>
  <c r="G42" i="13"/>
  <c r="G102" i="13" s="1"/>
  <c r="G45" i="13"/>
  <c r="G105" i="13" s="1"/>
  <c r="G65" i="13"/>
  <c r="G125" i="13" s="1"/>
  <c r="G20" i="13"/>
  <c r="G80" i="13" s="1"/>
  <c r="G63" i="13"/>
  <c r="G123" i="13" s="1"/>
  <c r="G18" i="13"/>
  <c r="G78" i="13" s="1"/>
  <c r="G40" i="13"/>
  <c r="G100" i="13" s="1"/>
  <c r="G26" i="13"/>
  <c r="G86" i="13" s="1"/>
  <c r="G51" i="13"/>
  <c r="G111" i="13" s="1"/>
  <c r="G64" i="13"/>
  <c r="G124" i="13" s="1"/>
  <c r="G58" i="13"/>
  <c r="G118" i="13" s="1"/>
  <c r="H29" i="13"/>
  <c r="H89" i="13" s="1"/>
  <c r="H56" i="13"/>
  <c r="H116" i="13" s="1"/>
  <c r="H17" i="13"/>
  <c r="H77" i="13" s="1"/>
  <c r="H33" i="13"/>
  <c r="H93" i="13" s="1"/>
  <c r="H55" i="13"/>
  <c r="H115" i="13" s="1"/>
  <c r="H61" i="13"/>
  <c r="H121" i="13" s="1"/>
  <c r="H38" i="13"/>
  <c r="H98" i="13" s="1"/>
  <c r="H19" i="13"/>
  <c r="H79" i="13" s="1"/>
  <c r="H32" i="13"/>
  <c r="H92" i="13" s="1"/>
  <c r="H50" i="13"/>
  <c r="H110" i="13" s="1"/>
  <c r="H31" i="13"/>
  <c r="H91" i="13" s="1"/>
  <c r="H34" i="13"/>
  <c r="H94" i="13" s="1"/>
  <c r="H54" i="13"/>
  <c r="H114" i="13" s="1"/>
  <c r="H53" i="13"/>
  <c r="H113" i="13" s="1"/>
  <c r="H36" i="13"/>
  <c r="H96" i="13" s="1"/>
  <c r="H59" i="13"/>
  <c r="H119" i="13" s="1"/>
  <c r="H43" i="13"/>
  <c r="H103" i="13" s="1"/>
  <c r="H52" i="13"/>
  <c r="H112" i="13" s="1"/>
  <c r="O112" i="13" s="1"/>
  <c r="H24" i="13"/>
  <c r="H84" i="13" s="1"/>
  <c r="H22" i="13"/>
  <c r="H82" i="13" s="1"/>
  <c r="H49" i="13"/>
  <c r="H109" i="13" s="1"/>
  <c r="H41" i="13"/>
  <c r="H101" i="13" s="1"/>
  <c r="H27" i="13"/>
  <c r="H87" i="13" s="1"/>
  <c r="H25" i="13"/>
  <c r="H85" i="13" s="1"/>
  <c r="H30" i="13"/>
  <c r="H90" i="13" s="1"/>
  <c r="H46" i="13"/>
  <c r="H106" i="13" s="1"/>
  <c r="H28" i="13"/>
  <c r="H88" i="13" s="1"/>
  <c r="H23" i="13"/>
  <c r="H83" i="13" s="1"/>
  <c r="H48" i="13"/>
  <c r="H108" i="13" s="1"/>
  <c r="H37" i="13"/>
  <c r="H97" i="13" s="1"/>
  <c r="H39" i="13"/>
  <c r="H99" i="13" s="1"/>
  <c r="H44" i="13"/>
  <c r="H104" i="13" s="1"/>
  <c r="H47" i="13"/>
  <c r="H107" i="13" s="1"/>
  <c r="H62" i="13"/>
  <c r="H122" i="13" s="1"/>
  <c r="H35" i="13"/>
  <c r="H95" i="13" s="1"/>
  <c r="K17" i="13"/>
  <c r="K77" i="13" s="1"/>
  <c r="K46" i="13"/>
  <c r="K106" i="13" s="1"/>
  <c r="K30" i="13"/>
  <c r="K90" i="13" s="1"/>
  <c r="P90" i="13" s="1"/>
  <c r="K33" i="13"/>
  <c r="K93" i="13" s="1"/>
  <c r="K37" i="13"/>
  <c r="K97" i="13" s="1"/>
  <c r="K24" i="13"/>
  <c r="K84" i="13" s="1"/>
  <c r="P84" i="13" s="1"/>
  <c r="K44" i="13"/>
  <c r="K104" i="13" s="1"/>
  <c r="K25" i="13"/>
  <c r="K85" i="13" s="1"/>
  <c r="K28" i="13"/>
  <c r="K88" i="13" s="1"/>
  <c r="K41" i="13"/>
  <c r="K101" i="13" s="1"/>
  <c r="P101" i="13" s="1"/>
  <c r="K31" i="13"/>
  <c r="K91" i="13" s="1"/>
  <c r="K19" i="13"/>
  <c r="K79" i="13" s="1"/>
  <c r="P79" i="13" s="1"/>
  <c r="K56" i="13"/>
  <c r="K116" i="13" s="1"/>
  <c r="K29" i="13"/>
  <c r="K89" i="13" s="1"/>
  <c r="K34" i="13"/>
  <c r="K94" i="13" s="1"/>
  <c r="K22" i="13"/>
  <c r="K82" i="13" s="1"/>
  <c r="P82" i="13" s="1"/>
  <c r="K50" i="13"/>
  <c r="K110" i="13" s="1"/>
  <c r="K47" i="13"/>
  <c r="K107" i="13" s="1"/>
  <c r="P107" i="13" s="1"/>
  <c r="K36" i="13"/>
  <c r="K96" i="13" s="1"/>
  <c r="K62" i="13"/>
  <c r="K122" i="13" s="1"/>
  <c r="K59" i="13"/>
  <c r="K119" i="13" s="1"/>
  <c r="K32" i="13"/>
  <c r="K92" i="13" s="1"/>
  <c r="K54" i="13"/>
  <c r="K114" i="13" s="1"/>
  <c r="P114" i="13" s="1"/>
  <c r="K38" i="13"/>
  <c r="K98" i="13" s="1"/>
  <c r="K27" i="13"/>
  <c r="K87" i="13" s="1"/>
  <c r="K43" i="13"/>
  <c r="K103" i="13" s="1"/>
  <c r="K49" i="13"/>
  <c r="K109" i="13" s="1"/>
  <c r="K39" i="13"/>
  <c r="K99" i="13" s="1"/>
  <c r="K23" i="13"/>
  <c r="K83" i="13" s="1"/>
  <c r="P83" i="13" s="1"/>
  <c r="K35" i="13"/>
  <c r="K95" i="13" s="1"/>
  <c r="K55" i="13"/>
  <c r="K115" i="13" s="1"/>
  <c r="P115" i="13" s="1"/>
  <c r="K52" i="13"/>
  <c r="K112" i="13" s="1"/>
  <c r="P112" i="13" s="1"/>
  <c r="K61" i="13"/>
  <c r="K121" i="13" s="1"/>
  <c r="P121" i="13" s="1"/>
  <c r="K48" i="13"/>
  <c r="K108" i="13" s="1"/>
  <c r="K53" i="13"/>
  <c r="K113" i="13" s="1"/>
  <c r="P113" i="13" s="1"/>
  <c r="F58" i="13"/>
  <c r="F118" i="13" s="1"/>
  <c r="F63" i="13"/>
  <c r="F123" i="13" s="1"/>
  <c r="F20" i="13"/>
  <c r="F80" i="13" s="1"/>
  <c r="F66" i="13"/>
  <c r="F126" i="13" s="1"/>
  <c r="F65" i="13"/>
  <c r="F125" i="13" s="1"/>
  <c r="F42" i="13"/>
  <c r="F102" i="13" s="1"/>
  <c r="F45" i="13"/>
  <c r="F105" i="13" s="1"/>
  <c r="F60" i="13"/>
  <c r="F120" i="13" s="1"/>
  <c r="F21" i="13"/>
  <c r="F81" i="13" s="1"/>
  <c r="F26" i="13"/>
  <c r="F86" i="13" s="1"/>
  <c r="F18" i="13"/>
  <c r="F78" i="13" s="1"/>
  <c r="F51" i="13"/>
  <c r="F111" i="13" s="1"/>
  <c r="F40" i="13"/>
  <c r="F100" i="13" s="1"/>
  <c r="F64" i="13"/>
  <c r="F124" i="13" s="1"/>
  <c r="P80" i="13" l="1"/>
  <c r="P93" i="13"/>
  <c r="P122" i="13"/>
  <c r="P103" i="13"/>
  <c r="P78" i="13"/>
  <c r="P77" i="13"/>
  <c r="P86" i="13"/>
  <c r="P116" i="13"/>
  <c r="O99" i="13"/>
  <c r="P119" i="13"/>
  <c r="P109" i="13"/>
  <c r="P126" i="13"/>
  <c r="O95" i="13"/>
  <c r="P87" i="13"/>
  <c r="P85" i="13"/>
  <c r="P125" i="13"/>
  <c r="O100" i="13"/>
  <c r="O101" i="13"/>
  <c r="O78" i="13"/>
  <c r="O118" i="13"/>
  <c r="O123" i="13"/>
  <c r="O89" i="13"/>
  <c r="P97" i="13"/>
  <c r="O85" i="13"/>
  <c r="O119" i="13"/>
  <c r="O103" i="13"/>
  <c r="O104" i="13"/>
  <c r="O79" i="13"/>
  <c r="O80" i="13"/>
  <c r="O126" i="13"/>
  <c r="O96" i="13"/>
  <c r="O113" i="13"/>
  <c r="O116" i="13"/>
  <c r="P89" i="13"/>
  <c r="P106" i="13"/>
  <c r="P123" i="13"/>
  <c r="P110" i="13"/>
  <c r="O88" i="13"/>
  <c r="P94" i="13"/>
  <c r="O122" i="13"/>
  <c r="O98" i="13"/>
  <c r="O114" i="13"/>
  <c r="O102" i="13"/>
  <c r="O124" i="13"/>
  <c r="O92" i="13"/>
  <c r="O81" i="13"/>
  <c r="P120" i="13"/>
  <c r="P91" i="13"/>
  <c r="O109" i="13"/>
  <c r="O115" i="13"/>
  <c r="P88" i="13"/>
  <c r="O82" i="13"/>
  <c r="O94" i="13"/>
  <c r="P96" i="13"/>
  <c r="P98" i="13"/>
  <c r="P108" i="13"/>
  <c r="O106" i="13"/>
  <c r="O110" i="13"/>
  <c r="N95" i="13"/>
  <c r="Q95" i="13"/>
  <c r="O87" i="13"/>
  <c r="P95" i="13"/>
  <c r="P92" i="13"/>
  <c r="O107" i="13"/>
  <c r="O90" i="13"/>
  <c r="O125" i="13"/>
  <c r="Q96" i="13"/>
  <c r="N96" i="13"/>
  <c r="Q112" i="13"/>
  <c r="N112" i="13"/>
  <c r="N93" i="13"/>
  <c r="Q93" i="13"/>
  <c r="Q108" i="13"/>
  <c r="N108" i="13"/>
  <c r="P81" i="13"/>
  <c r="Q100" i="13"/>
  <c r="N100" i="13"/>
  <c r="Q80" i="13"/>
  <c r="N80" i="13"/>
  <c r="N79" i="13"/>
  <c r="Q79" i="13"/>
  <c r="O111" i="13"/>
  <c r="Q110" i="13"/>
  <c r="N110" i="13"/>
  <c r="N85" i="13"/>
  <c r="Q85" i="13"/>
  <c r="Q114" i="13"/>
  <c r="N114" i="13"/>
  <c r="N90" i="13"/>
  <c r="Q90" i="13"/>
  <c r="Q91" i="13"/>
  <c r="N91" i="13"/>
  <c r="Q120" i="13"/>
  <c r="N120" i="13"/>
  <c r="N81" i="13"/>
  <c r="Q81" i="13"/>
  <c r="Q88" i="13"/>
  <c r="N88" i="13"/>
  <c r="O97" i="13"/>
  <c r="O121" i="13"/>
  <c r="N97" i="13"/>
  <c r="Q97" i="13"/>
  <c r="N115" i="13"/>
  <c r="Q115" i="13"/>
  <c r="N119" i="13"/>
  <c r="Q119" i="13"/>
  <c r="Q99" i="13"/>
  <c r="N99" i="13"/>
  <c r="N101" i="13"/>
  <c r="Q101" i="13"/>
  <c r="Q126" i="13"/>
  <c r="N126" i="13"/>
  <c r="N125" i="13"/>
  <c r="Q125" i="13"/>
  <c r="P99" i="13"/>
  <c r="O108" i="13"/>
  <c r="O86" i="13"/>
  <c r="Q104" i="13"/>
  <c r="N104" i="13"/>
  <c r="Q94" i="13"/>
  <c r="N94" i="13"/>
  <c r="N98" i="13"/>
  <c r="Q98" i="13"/>
  <c r="N109" i="13"/>
  <c r="Q109" i="13"/>
  <c r="Q86" i="13"/>
  <c r="N86" i="13"/>
  <c r="Q92" i="13"/>
  <c r="N92" i="13"/>
  <c r="O93" i="13"/>
  <c r="N89" i="13"/>
  <c r="Q89" i="13"/>
  <c r="N77" i="13"/>
  <c r="Q107" i="13"/>
  <c r="N107" i="13"/>
  <c r="N121" i="13"/>
  <c r="Q121" i="13"/>
  <c r="Q124" i="13"/>
  <c r="N124" i="13"/>
  <c r="Q78" i="13"/>
  <c r="N78" i="13"/>
  <c r="Q77" i="13"/>
  <c r="N103" i="13"/>
  <c r="Q103" i="13"/>
  <c r="N111" i="13"/>
  <c r="Q111" i="13"/>
  <c r="O83" i="13"/>
  <c r="O84" i="13"/>
  <c r="O91" i="13"/>
  <c r="O77" i="13"/>
  <c r="O120" i="13"/>
  <c r="N113" i="13"/>
  <c r="Q113" i="13"/>
  <c r="Q122" i="13"/>
  <c r="N122" i="13"/>
  <c r="N87" i="13"/>
  <c r="Q87" i="13"/>
  <c r="Q83" i="13"/>
  <c r="N83" i="13"/>
  <c r="Q102" i="13"/>
  <c r="N102" i="13"/>
  <c r="Q118" i="13"/>
  <c r="N118" i="13"/>
  <c r="P104" i="13"/>
  <c r="O105" i="13"/>
  <c r="N82" i="13"/>
  <c r="Q82" i="13"/>
  <c r="N106" i="13"/>
  <c r="Q106" i="13"/>
  <c r="Q84" i="13"/>
  <c r="N84" i="13"/>
  <c r="Q116" i="13"/>
  <c r="N116" i="13"/>
  <c r="P111" i="13"/>
  <c r="N123" i="13"/>
  <c r="Q123" i="13"/>
  <c r="N105" i="13"/>
  <c r="Q105" i="13"/>
</calcChain>
</file>

<file path=xl/sharedStrings.xml><?xml version="1.0" encoding="utf-8"?>
<sst xmlns="http://schemas.openxmlformats.org/spreadsheetml/2006/main" count="846" uniqueCount="173">
  <si>
    <t>State</t>
  </si>
  <si>
    <t>Alabama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</si>
  <si>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</si>
  <si>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</si>
  <si>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</si>
  <si>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</si>
  <si>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</si>
  <si>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</si>
  <si>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</si>
  <si>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</si>
  <si>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</si>
  <si>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</si>
  <si>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</si>
  <si>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</si>
  <si>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</si>
  <si>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</si>
  <si>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</si>
  <si>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</si>
  <si>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</si>
  <si>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</si>
  <si>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</si>
  <si>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</si>
  <si>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</si>
  <si>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</si>
  <si>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</si>
  <si>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</si>
  <si>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</si>
  <si>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</si>
  <si>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</si>
  <si>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</si>
  <si>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</si>
  <si>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</si>
  <si>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</si>
  <si>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</si>
  <si>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</si>
  <si>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</si>
  <si>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</si>
  <si>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</si>
  <si>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</si>
  <si>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</si>
  <si>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</si>
  <si>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</si>
  <si>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</si>
  <si>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</si>
  <si>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</si>
  <si>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</si>
  <si>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</si>
  <si>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</si>
  <si>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GWh</t>
  </si>
  <si>
    <t>SERC Southeastern</t>
  </si>
  <si>
    <t>WECC Southwest</t>
  </si>
  <si>
    <t>SERC Delta</t>
  </si>
  <si>
    <t>WECC California</t>
  </si>
  <si>
    <t>WECC Rockies</t>
  </si>
  <si>
    <t>RFC East</t>
  </si>
  <si>
    <t>WECC Northwest Power Pool Area</t>
  </si>
  <si>
    <t>RFC West</t>
  </si>
  <si>
    <t>SPP North</t>
  </si>
  <si>
    <t>SERC Central</t>
  </si>
  <si>
    <t>RFC Michigan</t>
  </si>
  <si>
    <t>SERC Gateway</t>
  </si>
  <si>
    <t>SERC Virginia/Carolina</t>
  </si>
  <si>
    <t>SPP South</t>
  </si>
  <si>
    <t>MW</t>
  </si>
  <si>
    <t>MWh</t>
  </si>
  <si>
    <t>Navajo</t>
  </si>
  <si>
    <t>Ute</t>
  </si>
  <si>
    <t>Fort Mojave</t>
  </si>
  <si>
    <t>MRC East</t>
  </si>
  <si>
    <t>MRC West</t>
  </si>
  <si>
    <t>Northeast</t>
  </si>
  <si>
    <t>NYC-Westchester</t>
  </si>
  <si>
    <t>Long Island</t>
  </si>
  <si>
    <t>Upstate NY</t>
  </si>
  <si>
    <t>SERC Virginia-Carolina</t>
  </si>
  <si>
    <t>WECC Northwest Power Pool</t>
  </si>
  <si>
    <t>New York (Aggregated)</t>
  </si>
  <si>
    <t>Interim</t>
  </si>
  <si>
    <t>Final</t>
  </si>
  <si>
    <t>% of Total</t>
  </si>
  <si>
    <t>AL</t>
  </si>
  <si>
    <t>AR</t>
  </si>
  <si>
    <t>AZ</t>
  </si>
  <si>
    <t>CA</t>
  </si>
  <si>
    <t>CO</t>
  </si>
  <si>
    <t>CT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</si>
  <si>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</si>
  <si>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</si>
  <si>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</si>
  <si>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</si>
  <si>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</si>
  <si>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</si>
  <si>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</si>
  <si>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</si>
  <si>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</si>
  <si>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</si>
  <si>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</si>
  <si>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</si>
  <si>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</si>
  <si>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</si>
  <si>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</si>
  <si>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</si>
  <si>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</si>
  <si>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</si>
  <si>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</si>
  <si>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</si>
  <si>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</si>
  <si>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</si>
  <si>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</si>
  <si>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</si>
  <si>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</si>
  <si>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</si>
  <si>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</si>
  <si>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</si>
  <si>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</si>
  <si>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</si>
  <si>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</si>
  <si>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</si>
  <si>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</si>
  <si>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</si>
  <si>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</si>
  <si>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UTE</t>
  </si>
  <si>
    <t>UT</t>
  </si>
  <si>
    <t>VA</t>
  </si>
  <si>
    <t>WA</t>
  </si>
  <si>
    <t>WI</t>
  </si>
  <si>
    <t>WV</t>
  </si>
  <si>
    <t>WY</t>
  </si>
  <si>
    <t>Lands of the Fort Mojave Tribe</t>
  </si>
  <si>
    <t>Lands of the Navajo Nation</t>
  </si>
  <si>
    <t>Lands of the Uintah and Ouray Reservation</t>
  </si>
  <si>
    <t>Eastern</t>
  </si>
  <si>
    <t>Western</t>
  </si>
  <si>
    <t>Total</t>
  </si>
  <si>
    <t>2022-2024</t>
  </si>
  <si>
    <t>2025-2027</t>
  </si>
  <si>
    <t>2028-2029</t>
  </si>
  <si>
    <t>Interconnection</t>
  </si>
  <si>
    <t>Net Energy for Load, % Growth from 2012</t>
  </si>
  <si>
    <t>2012 Sales (GWh)</t>
  </si>
  <si>
    <t>Transmission Losses</t>
  </si>
  <si>
    <t>2012 Generation Associated with Sales</t>
  </si>
  <si>
    <t>2012 Baseline Generation Levels (GWh)</t>
  </si>
  <si>
    <t>2012 Sales</t>
  </si>
  <si>
    <t>Incremental Generation Required to Support Demand Growth (GWh)</t>
  </si>
  <si>
    <t>NGCC</t>
  </si>
  <si>
    <t>Coal</t>
  </si>
  <si>
    <t>Nuclear</t>
  </si>
  <si>
    <t>Under Construction Generation Assumed to Meet Future Demand (GWh)</t>
  </si>
  <si>
    <t>New Source Complement Generation (GWh)</t>
  </si>
  <si>
    <t>Interconnection-Level New Source Complement Generation</t>
  </si>
  <si>
    <t>State-Level New Source Complement Generation</t>
  </si>
  <si>
    <t>Associated Interconnection</t>
  </si>
  <si>
    <t>Interconnection-Level New Source Complement Generation (MWh)</t>
  </si>
  <si>
    <t>State-Level New Source Complement (Tons)</t>
  </si>
  <si>
    <t>Emission Intensity of New Source Complement Generation (lbs/MWh CO2):</t>
  </si>
  <si>
    <t>State-Level New Source Complement Generation (MWh)</t>
  </si>
  <si>
    <t>Share of 2012 Adjusted Affected EGU Generation</t>
  </si>
  <si>
    <t>Share</t>
  </si>
  <si>
    <t>New Source Complements (Tons)</t>
  </si>
  <si>
    <t>Affected EGU and RE Generation Growth Incorporated in Mass Goal Calculation (GWh)</t>
  </si>
  <si>
    <t>Total Net Energy for Load (% Change from 2012)</t>
  </si>
  <si>
    <t>2012 Adjusted Affected EGU Generation</t>
  </si>
  <si>
    <t>Incremental RE Increase Associated with Mass Goals</t>
  </si>
  <si>
    <t>Total Net Energy for Load (TWh)</t>
  </si>
  <si>
    <t>AEO2015 by EMM Region</t>
  </si>
  <si>
    <t>State Share</t>
  </si>
  <si>
    <t>State Generation (MWh)</t>
  </si>
  <si>
    <t>State Share of Interconnection-Associated 2012 Adjusted Affected EGU Generation</t>
  </si>
  <si>
    <t>Average Annual by Period</t>
  </si>
  <si>
    <t>Total by Period</t>
  </si>
  <si>
    <t>Interim (2022-2029)</t>
  </si>
  <si>
    <t>Final (2030-2031)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</si>
</sst>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</font>
    <font>
      <sz val="10"/>
      <name val="MS Sans Serif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4" fillId="0" borderId="0" applyFont="0" applyFill="0" applyBorder="0" applyAlignment="0" applyProtection="0"/>
  </cellStyleXfs>
  <cellXfs count="18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2" applyNumberFormat="1" applyFont="1" applyBorder="1"/>
    <xf numFmtId="164" fontId="0" fillId="0" borderId="2" xfId="2" applyNumberFormat="1" applyFont="1" applyBorder="1"/>
    <xf numFmtId="164" fontId="0" fillId="0" borderId="5" xfId="2" applyNumberFormat="1" applyFont="1" applyBorder="1"/>
    <xf numFmtId="0" fontId="0" fillId="0" borderId="1" xfId="0" applyBorder="1"/>
    <xf numFmtId="164" fontId="0" fillId="0" borderId="0" xfId="2" applyNumberFormat="1" applyFont="1" applyBorder="1"/>
    <xf numFmtId="164" fontId="0" fillId="0" borderId="4" xfId="2" applyNumberFormat="1" applyFont="1" applyBorder="1"/>
    <xf numFmtId="0" fontId="2" fillId="0" borderId="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164" fontId="0" fillId="0" borderId="0" xfId="2" applyNumberFormat="1" applyFont="1" applyFill="1" applyBorder="1"/>
    <xf numFmtId="10" fontId="0" fillId="0" borderId="0" xfId="1" applyNumberFormat="1" applyFont="1" applyBorder="1"/>
    <xf numFmtId="0" fontId="5" fillId="0" borderId="0" xfId="0" applyFont="1"/>
    <xf numFmtId="164" fontId="0" fillId="0" borderId="7" xfId="2" applyNumberFormat="1" applyFont="1" applyBorder="1"/>
    <xf numFmtId="164" fontId="0" fillId="0" borderId="0" xfId="2" applyNumberFormat="1" applyFont="1"/>
    <xf numFmtId="43" fontId="0" fillId="0" borderId="0" xfId="0" applyNumberFormat="1"/>
    <xf numFmtId="164" fontId="0" fillId="0" borderId="0" xfId="0" applyNumberFormat="1" applyBorder="1"/>
    <xf numFmtId="0" fontId="0" fillId="0" borderId="14" xfId="0" applyBorder="1"/>
    <xf numFmtId="0" fontId="0" fillId="0" borderId="0" xfId="0" applyBorder="1" applyAlignment="1">
      <alignment horizontal="left"/>
    </xf>
    <xf numFmtId="9" fontId="0" fillId="0" borderId="2" xfId="1" applyFont="1" applyBorder="1"/>
    <xf numFmtId="9" fontId="0" fillId="0" borderId="5" xfId="1" applyFont="1" applyBorder="1"/>
    <xf numFmtId="0" fontId="2" fillId="0" borderId="9" xfId="0" applyFont="1" applyBorder="1"/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5" fontId="0" fillId="0" borderId="0" xfId="1" applyNumberFormat="1" applyFont="1" applyBorder="1"/>
    <xf numFmtId="10" fontId="7" fillId="0" borderId="0" xfId="1" applyNumberFormat="1" applyFont="1" applyFill="1" applyBorder="1" applyAlignment="1">
      <alignment horizontal="center" vertical="center" wrapText="1"/>
    </xf>
    <xf numFmtId="10" fontId="7" fillId="0" borderId="2" xfId="1" applyNumberFormat="1" applyFont="1" applyFill="1" applyBorder="1" applyAlignment="1">
      <alignment horizontal="center" vertical="center" wrapText="1"/>
    </xf>
    <xf numFmtId="10" fontId="7" fillId="0" borderId="4" xfId="1" applyNumberFormat="1" applyFont="1" applyFill="1" applyBorder="1" applyAlignment="1">
      <alignment horizontal="center" vertical="center" wrapText="1"/>
    </xf>
    <xf numFmtId="10" fontId="7" fillId="0" borderId="5" xfId="1" applyNumberFormat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5" xfId="0" applyBorder="1"/>
    <xf numFmtId="164" fontId="0" fillId="0" borderId="3" xfId="2" applyNumberFormat="1" applyFont="1" applyBorder="1"/>
    <xf numFmtId="10" fontId="0" fillId="0" borderId="4" xfId="1" applyNumberFormat="1" applyFont="1" applyBorder="1"/>
    <xf numFmtId="0" fontId="0" fillId="0" borderId="20" xfId="0" applyBorder="1"/>
    <xf numFmtId="0" fontId="0" fillId="0" borderId="21" xfId="0" applyBorder="1"/>
    <xf numFmtId="0" fontId="0" fillId="0" borderId="9" xfId="0" applyBorder="1"/>
    <xf numFmtId="0" fontId="0" fillId="0" borderId="18" xfId="0" applyBorder="1"/>
    <xf numFmtId="164" fontId="0" fillId="0" borderId="1" xfId="2" applyNumberFormat="1" applyFont="1" applyFill="1" applyBorder="1"/>
    <xf numFmtId="164" fontId="0" fillId="0" borderId="3" xfId="2" applyNumberFormat="1" applyFont="1" applyFill="1" applyBorder="1"/>
    <xf numFmtId="164" fontId="0" fillId="0" borderId="4" xfId="2" applyNumberFormat="1" applyFont="1" applyFill="1" applyBorder="1"/>
    <xf numFmtId="164" fontId="0" fillId="0" borderId="2" xfId="0" applyNumberFormat="1" applyBorder="1"/>
    <xf numFmtId="164" fontId="0" fillId="0" borderId="5" xfId="0" applyNumberFormat="1" applyBorder="1"/>
    <xf numFmtId="164" fontId="0" fillId="0" borderId="6" xfId="2" applyNumberFormat="1" applyFont="1" applyBorder="1"/>
    <xf numFmtId="164" fontId="0" fillId="0" borderId="8" xfId="2" applyNumberFormat="1" applyFon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0" fillId="0" borderId="2" xfId="1" applyNumberFormat="1" applyFont="1" applyBorder="1"/>
    <xf numFmtId="165" fontId="0" fillId="0" borderId="5" xfId="1" applyNumberFormat="1" applyFont="1" applyBorder="1"/>
    <xf numFmtId="0" fontId="2" fillId="0" borderId="1" xfId="0" applyFont="1" applyBorder="1"/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/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horizontal="center" vertical="center" wrapText="1"/>
    </xf>
    <xf numFmtId="3" fontId="7" fillId="0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" xfId="0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6" fillId="0" borderId="7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3" fontId="7" fillId="0" borderId="6" xfId="0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164" fontId="0" fillId="0" borderId="18" xfId="0" applyNumberFormat="1" applyBorder="1"/>
    <xf numFmtId="9" fontId="0" fillId="0" borderId="10" xfId="1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0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43" fontId="0" fillId="0" borderId="0" xfId="2" applyNumberFormat="1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wrapText="1"/>
    </xf>
    <xf numFmtId="164" fontId="0" fillId="0" borderId="0" xfId="2" applyNumberFormat="1" applyFont="1" applyBorder="1" applyAlignment="1">
      <alignment wrapText="1"/>
    </xf>
    <xf numFmtId="9" fontId="0" fillId="0" borderId="0" xfId="1" applyFont="1" applyBorder="1" applyAlignment="1">
      <alignment wrapText="1"/>
    </xf>
    <xf numFmtId="9" fontId="0" fillId="0" borderId="0" xfId="0" applyNumberFormat="1" applyBorder="1"/>
    <xf numFmtId="165" fontId="0" fillId="0" borderId="0" xfId="1" applyNumberFormat="1" applyFont="1" applyBorder="1" applyAlignment="1">
      <alignment wrapText="1"/>
    </xf>
    <xf numFmtId="0" fontId="9" fillId="0" borderId="0" xfId="0" applyFont="1" applyBorder="1"/>
    <xf numFmtId="10" fontId="0" fillId="0" borderId="1" xfId="1" applyNumberFormat="1" applyFont="1" applyBorder="1"/>
    <xf numFmtId="0" fontId="6" fillId="0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6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0" borderId="2" xfId="2" applyNumberFormat="1" applyFont="1" applyFill="1" applyBorder="1"/>
    <xf numFmtId="164" fontId="0" fillId="0" borderId="5" xfId="2" applyNumberFormat="1" applyFont="1" applyFill="1" applyBorder="1"/>
  </cellXfs>
  <cellStyles count="5">
    <cellStyle name="Comma" xfId="2" builtinId="3"/>
    <cellStyle name="Comma 2" xfId="4"/>
    <cellStyle name="Normal" xfId="0" builtinId="0"/>
    <cellStyle name="Normal 2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sims/Downloads/20141028-tribal-territory-goa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 1 - Info"/>
      <sheetName val="App 1 - Guam"/>
      <sheetName val="App 1 - PR"/>
      <sheetName val="App 1 - Tribes"/>
      <sheetName val="App 2 - Goals option 1"/>
      <sheetName val="App 2 - Goals option 2"/>
      <sheetName val="App 3 - Cost info"/>
      <sheetName val="App 3 - Cost analysis"/>
      <sheetName val="20141028-tribal-territory-goals"/>
    </sheetNames>
    <sheetDataSet>
      <sheetData sheetId="0">
        <row r="11">
          <cell r="B11">
            <v>8784</v>
          </cell>
        </row>
        <row r="25">
          <cell r="B25">
            <v>2205</v>
          </cell>
        </row>
        <row r="26">
          <cell r="B26">
            <v>0.7</v>
          </cell>
        </row>
        <row r="27">
          <cell r="B27">
            <v>0.65</v>
          </cell>
        </row>
        <row r="28">
          <cell r="B28">
            <v>18150330</v>
          </cell>
        </row>
        <row r="29">
          <cell r="B29">
            <v>1563475</v>
          </cell>
        </row>
        <row r="30">
          <cell r="B30">
            <v>676014</v>
          </cell>
        </row>
        <row r="32">
          <cell r="B32">
            <v>48000</v>
          </cell>
        </row>
        <row r="33">
          <cell r="B33">
            <v>7.51E-2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126"/>
  <sheetViews>
    <sheetView tabSelected="1" workbookViewId="0"/>
  </sheetViews>
  <sheetFormatPr defaultRowHeight="15" x14ac:dyDescent="0.25"/>
  <cols>
    <col min="2" max="2" width="19.5703125" customWidth="1"/>
    <col min="3" max="3" width="16" customWidth="1"/>
    <col min="4" max="4" width="17.28515625" customWidth="1"/>
    <col min="5" max="11" width="14.28515625" bestFit="1" customWidth="1"/>
    <col min="12" max="14" width="15.85546875" customWidth="1"/>
    <col min="15" max="18" width="13.28515625" bestFit="1" customWidth="1"/>
    <col min="19" max="23" width="16.28515625" customWidth="1"/>
    <col min="24" max="27" width="10.42578125" customWidth="1"/>
    <col min="28" max="28" width="11.5703125" bestFit="1" customWidth="1"/>
  </cols>
  <sheetData>
    <row r="1" spans="2:45" ht="21" x14ac:dyDescent="0.35">
      <c r="B1" s="16" t="s">
        <v>150</v>
      </c>
    </row>
    <row r="2" spans="2:45" ht="15.75" thickBot="1" x14ac:dyDescent="0.3"/>
    <row r="3" spans="2:45" ht="34.5" customHeight="1" thickBot="1" x14ac:dyDescent="0.3">
      <c r="B3" s="139" t="s">
        <v>137</v>
      </c>
      <c r="C3" s="130" t="s">
        <v>138</v>
      </c>
      <c r="D3" s="131"/>
      <c r="E3" s="131"/>
      <c r="F3" s="131"/>
      <c r="G3" s="131"/>
      <c r="H3" s="131"/>
      <c r="I3" s="131"/>
      <c r="J3" s="131"/>
      <c r="K3" s="132"/>
      <c r="L3" s="131" t="s">
        <v>142</v>
      </c>
      <c r="M3" s="131"/>
      <c r="N3" s="131"/>
      <c r="O3" s="136" t="s">
        <v>144</v>
      </c>
      <c r="P3" s="137"/>
      <c r="Q3" s="137"/>
      <c r="R3" s="137"/>
      <c r="S3" s="137"/>
      <c r="T3" s="137"/>
      <c r="U3" s="137"/>
      <c r="V3" s="137"/>
      <c r="W3" s="138"/>
      <c r="X3" s="141" t="s">
        <v>148</v>
      </c>
      <c r="Y3" s="142"/>
      <c r="Z3" s="142"/>
      <c r="AA3" s="143"/>
      <c r="AB3" s="130" t="s">
        <v>160</v>
      </c>
      <c r="AC3" s="131"/>
      <c r="AD3" s="131"/>
      <c r="AE3" s="131"/>
      <c r="AF3" s="131"/>
      <c r="AG3" s="131"/>
      <c r="AH3" s="131"/>
      <c r="AI3" s="131"/>
      <c r="AJ3" s="132"/>
      <c r="AK3" s="130" t="s">
        <v>149</v>
      </c>
      <c r="AL3" s="131"/>
      <c r="AM3" s="131"/>
      <c r="AN3" s="131"/>
      <c r="AO3" s="131"/>
      <c r="AP3" s="131"/>
      <c r="AQ3" s="131"/>
      <c r="AR3" s="131"/>
      <c r="AS3" s="132"/>
    </row>
    <row r="4" spans="2:45" ht="44.25" customHeight="1" thickBot="1" x14ac:dyDescent="0.3">
      <c r="B4" s="140"/>
      <c r="C4" s="83">
        <v>2022</v>
      </c>
      <c r="D4" s="84">
        <v>2023</v>
      </c>
      <c r="E4" s="84">
        <v>2024</v>
      </c>
      <c r="F4" s="84">
        <v>2025</v>
      </c>
      <c r="G4" s="84">
        <v>2026</v>
      </c>
      <c r="H4" s="84">
        <v>2027</v>
      </c>
      <c r="I4" s="84">
        <v>2028</v>
      </c>
      <c r="J4" s="84">
        <v>2029</v>
      </c>
      <c r="K4" s="85">
        <v>2030</v>
      </c>
      <c r="L4" s="84" t="s">
        <v>143</v>
      </c>
      <c r="M4" s="86" t="s">
        <v>140</v>
      </c>
      <c r="N4" s="86" t="s">
        <v>141</v>
      </c>
      <c r="O4" s="83">
        <v>2022</v>
      </c>
      <c r="P4" s="84">
        <v>2023</v>
      </c>
      <c r="Q4" s="84">
        <v>2024</v>
      </c>
      <c r="R4" s="84">
        <v>2025</v>
      </c>
      <c r="S4" s="84">
        <v>2026</v>
      </c>
      <c r="T4" s="84">
        <v>2027</v>
      </c>
      <c r="U4" s="84">
        <v>2028</v>
      </c>
      <c r="V4" s="84">
        <v>2029</v>
      </c>
      <c r="W4" s="85">
        <v>2030</v>
      </c>
      <c r="X4" s="83" t="s">
        <v>145</v>
      </c>
      <c r="Y4" s="84" t="s">
        <v>146</v>
      </c>
      <c r="Z4" s="84" t="s">
        <v>147</v>
      </c>
      <c r="AA4" s="85" t="s">
        <v>133</v>
      </c>
      <c r="AB4" s="83">
        <v>2022</v>
      </c>
      <c r="AC4" s="84">
        <v>2023</v>
      </c>
      <c r="AD4" s="84">
        <v>2024</v>
      </c>
      <c r="AE4" s="84">
        <v>2025</v>
      </c>
      <c r="AF4" s="84">
        <v>2026</v>
      </c>
      <c r="AG4" s="84">
        <v>2027</v>
      </c>
      <c r="AH4" s="84">
        <v>2028</v>
      </c>
      <c r="AI4" s="84">
        <v>2029</v>
      </c>
      <c r="AJ4" s="85">
        <v>2030</v>
      </c>
      <c r="AK4" s="87">
        <v>2022</v>
      </c>
      <c r="AL4" s="88">
        <v>2023</v>
      </c>
      <c r="AM4" s="88">
        <v>2024</v>
      </c>
      <c r="AN4" s="88">
        <v>2025</v>
      </c>
      <c r="AO4" s="88">
        <v>2026</v>
      </c>
      <c r="AP4" s="88">
        <v>2027</v>
      </c>
      <c r="AQ4" s="88">
        <v>2028</v>
      </c>
      <c r="AR4" s="88">
        <v>2029</v>
      </c>
      <c r="AS4" s="89">
        <v>2030</v>
      </c>
    </row>
    <row r="5" spans="2:45" x14ac:dyDescent="0.25">
      <c r="B5" s="37" t="s">
        <v>131</v>
      </c>
      <c r="C5" s="29">
        <f>VLOOKUP($B5,'Net Energy for Load'!$W$31:$AP$33,C$4-2011,0)</f>
        <v>7.4222063867069643E-2</v>
      </c>
      <c r="D5" s="29">
        <f>VLOOKUP($B5,'Net Energy for Load'!$W$31:$AP$33,D$4-2011,0)</f>
        <v>8.1047782759117615E-2</v>
      </c>
      <c r="E5" s="29">
        <f>VLOOKUP($B5,'Net Energy for Load'!$W$31:$AP$33,E$4-2011,0)</f>
        <v>8.9183434068814904E-2</v>
      </c>
      <c r="F5" s="29">
        <f>VLOOKUP($B5,'Net Energy for Load'!$W$31:$AP$33,F$4-2011,0)</f>
        <v>9.6383762202619572E-2</v>
      </c>
      <c r="G5" s="29">
        <f>VLOOKUP($B5,'Net Energy for Load'!$W$31:$AP$33,G$4-2011,0)</f>
        <v>0.10310734397229826</v>
      </c>
      <c r="H5" s="29">
        <f>VLOOKUP($B5,'Net Energy for Load'!$W$31:$AP$33,H$4-2011,0)</f>
        <v>0.10934755017645426</v>
      </c>
      <c r="I5" s="29">
        <f>VLOOKUP($B5,'Net Energy for Load'!$W$31:$AP$33,I$4-2011,0)</f>
        <v>0.11542107931693568</v>
      </c>
      <c r="J5" s="29">
        <f>VLOOKUP($B5,'Net Energy for Load'!$W$31:$AP$33,J$4-2011,0)</f>
        <v>0.12163319021850483</v>
      </c>
      <c r="K5" s="30">
        <f>VLOOKUP($B5,'Net Energy for Load'!$W$31:$AP$33,K$4-2011,0)</f>
        <v>0.12652930188614997</v>
      </c>
      <c r="L5" s="5">
        <f>VLOOKUP($B5,'2012 Sales'!$B$3:$D$5,3,0)</f>
        <v>2626987.557</v>
      </c>
      <c r="M5" s="15">
        <v>7.51E-2</v>
      </c>
      <c r="N5" s="6">
        <f>L5*(1+M5)</f>
        <v>2824274.3225306999</v>
      </c>
      <c r="O5" s="5">
        <f>$N5*C5</f>
        <v>209623.46914499847</v>
      </c>
      <c r="P5" s="9">
        <f t="shared" ref="P5:W5" si="0">$N5*D5</f>
        <v>228901.17174462223</v>
      </c>
      <c r="Q5" s="9">
        <f t="shared" si="0"/>
        <v>251878.48283566354</v>
      </c>
      <c r="R5" s="9">
        <f t="shared" si="0"/>
        <v>272214.18469776347</v>
      </c>
      <c r="S5" s="9">
        <f t="shared" si="0"/>
        <v>291203.4240453025</v>
      </c>
      <c r="T5" s="9">
        <f t="shared" si="0"/>
        <v>308827.47819499706</v>
      </c>
      <c r="U5" s="9">
        <f t="shared" si="0"/>
        <v>325980.79059360072</v>
      </c>
      <c r="V5" s="9">
        <f t="shared" si="0"/>
        <v>343525.49590161548</v>
      </c>
      <c r="W5" s="6">
        <f t="shared" si="0"/>
        <v>357353.45836478862</v>
      </c>
      <c r="X5" s="41">
        <f>VLOOKUP($B5,'Under Construction'!$B$6:$J$8,5,0)</f>
        <v>51231.239400000006</v>
      </c>
      <c r="Y5" s="14">
        <f>VLOOKUP($B5,'Under Construction'!$B$6:$J$8,7,0)</f>
        <v>3442.68</v>
      </c>
      <c r="Z5" s="14">
        <f>VLOOKUP($B5,'Under Construction'!$B$6:$J$8,9,0)</f>
        <v>31925.995200000001</v>
      </c>
      <c r="AA5" s="44">
        <f>SUM(X5:Z5)</f>
        <v>86599.914600000004</v>
      </c>
      <c r="AB5" s="46">
        <f>VLOOKUP($B5,'Mass Goal Generation Growth'!$B$5:$L$7,'New Source Complements'!AB$4-2019,0)</f>
        <v>138053.73581073771</v>
      </c>
      <c r="AC5" s="47">
        <f>VLOOKUP($B5,'Mass Goal Generation Growth'!$B$5:$L$7,'New Source Complements'!AC$4-2019,0)</f>
        <v>131857.87783443724</v>
      </c>
      <c r="AD5" s="47">
        <f>VLOOKUP($B5,'Mass Goal Generation Growth'!$B$5:$L$7,'New Source Complements'!AD$4-2019,0)</f>
        <v>135132.4520508436</v>
      </c>
      <c r="AE5" s="47">
        <f>VLOOKUP($B5,'Mass Goal Generation Growth'!$B$5:$L$7,'New Source Complements'!AE$4-2019,0)</f>
        <v>149186.16541839449</v>
      </c>
      <c r="AF5" s="47">
        <f>VLOOKUP($B5,'Mass Goal Generation Growth'!$B$5:$L$7,'New Source Complements'!AF$4-2019,0)</f>
        <v>161395.34611710499</v>
      </c>
      <c r="AG5" s="47">
        <f>VLOOKUP($B5,'Mass Goal Generation Growth'!$B$5:$L$7,'New Source Complements'!AG$4-2019,0)</f>
        <v>164933.94620440248</v>
      </c>
      <c r="AH5" s="47">
        <f>VLOOKUP($B5,'Mass Goal Generation Growth'!$B$5:$L$7,'New Source Complements'!AH$4-2019,0)</f>
        <v>191779.08367637481</v>
      </c>
      <c r="AI5" s="47">
        <f>VLOOKUP($B5,'Mass Goal Generation Growth'!$B$5:$L$7,'New Source Complements'!AI$4-2019,0)</f>
        <v>218278.69525899881</v>
      </c>
      <c r="AJ5" s="17">
        <f>VLOOKUP($B5,'Mass Goal Generation Growth'!$B$5:$L$7,'New Source Complements'!AJ$4-2019,0)</f>
        <v>241663.67676517088</v>
      </c>
      <c r="AK5" s="48">
        <f>MAX(O5-$AA5-AB5,0)</f>
        <v>0</v>
      </c>
      <c r="AL5" s="49">
        <f t="shared" ref="AL5:AS5" si="1">MAX(P5-$AA5-AC5,0)</f>
        <v>10443.379310184973</v>
      </c>
      <c r="AM5" s="49">
        <f t="shared" si="1"/>
        <v>30146.116184819926</v>
      </c>
      <c r="AN5" s="49">
        <f t="shared" si="1"/>
        <v>36428.10467936896</v>
      </c>
      <c r="AO5" s="49">
        <f t="shared" si="1"/>
        <v>43208.163328197494</v>
      </c>
      <c r="AP5" s="49">
        <f t="shared" si="1"/>
        <v>57293.617390594562</v>
      </c>
      <c r="AQ5" s="49">
        <f t="shared" si="1"/>
        <v>47601.792317225889</v>
      </c>
      <c r="AR5" s="49">
        <f t="shared" si="1"/>
        <v>38646.88604261665</v>
      </c>
      <c r="AS5" s="50">
        <f t="shared" si="1"/>
        <v>29089.86699961772</v>
      </c>
    </row>
    <row r="6" spans="2:45" x14ac:dyDescent="0.25">
      <c r="B6" s="37" t="s">
        <v>132</v>
      </c>
      <c r="C6" s="29">
        <f>VLOOKUP($B6,'Net Energy for Load'!$W$31:$AP$33,C$4-2011,0)</f>
        <v>6.2198886846487778E-2</v>
      </c>
      <c r="D6" s="29">
        <f>VLOOKUP($B6,'Net Energy for Load'!$W$31:$AP$33,D$4-2011,0)</f>
        <v>7.1328322803879907E-2</v>
      </c>
      <c r="E6" s="29">
        <f>VLOOKUP($B6,'Net Energy for Load'!$W$31:$AP$33,E$4-2011,0)</f>
        <v>8.1959455459673203E-2</v>
      </c>
      <c r="F6" s="29">
        <f>VLOOKUP($B6,'Net Energy for Load'!$W$31:$AP$33,F$4-2011,0)</f>
        <v>9.1843530112585503E-2</v>
      </c>
      <c r="G6" s="29">
        <f>VLOOKUP($B6,'Net Energy for Load'!$W$31:$AP$33,G$4-2011,0)</f>
        <v>0.10055822913057288</v>
      </c>
      <c r="H6" s="29">
        <f>VLOOKUP($B6,'Net Energy for Load'!$W$31:$AP$33,H$4-2011,0)</f>
        <v>0.10955115231482759</v>
      </c>
      <c r="I6" s="29">
        <f>VLOOKUP($B6,'Net Energy for Load'!$W$31:$AP$33,I$4-2011,0)</f>
        <v>0.11883322320907319</v>
      </c>
      <c r="J6" s="29">
        <f>VLOOKUP($B6,'Net Energy for Load'!$W$31:$AP$33,J$4-2011,0)</f>
        <v>0.12849124355371955</v>
      </c>
      <c r="K6" s="30">
        <f>VLOOKUP($B6,'Net Energy for Load'!$W$31:$AP$33,K$4-2011,0)</f>
        <v>0.13604710945852827</v>
      </c>
      <c r="L6" s="5">
        <f>VLOOKUP($B6,'2012 Sales'!$B$3:$D$5,3,0)</f>
        <v>671260.125</v>
      </c>
      <c r="M6" s="15">
        <v>7.51E-2</v>
      </c>
      <c r="N6" s="6">
        <f t="shared" ref="N6:N7" si="2">L6*(1+M6)</f>
        <v>721671.76038749993</v>
      </c>
      <c r="O6" s="5">
        <f t="shared" ref="O6:O7" si="3">$N6*C6</f>
        <v>44887.180164647747</v>
      </c>
      <c r="P6" s="9">
        <f t="shared" ref="P6:P7" si="4">$N6*D6</f>
        <v>51475.63628336387</v>
      </c>
      <c r="Q6" s="9">
        <f t="shared" ref="Q6:Q7" si="5">$N6*E6</f>
        <v>59147.824501983254</v>
      </c>
      <c r="R6" s="9">
        <f t="shared" ref="R6:R7" si="6">$N6*F6</f>
        <v>66280.882056551942</v>
      </c>
      <c r="S6" s="9">
        <f t="shared" ref="S6:S7" si="7">$N6*G6</f>
        <v>72570.034238110107</v>
      </c>
      <c r="T6" s="9">
        <f t="shared" ref="T6:T7" si="8">$N6*H6</f>
        <v>79059.97294352077</v>
      </c>
      <c r="U6" s="9">
        <f t="shared" ref="U6:U7" si="9">$N6*I6</f>
        <v>85758.581385812562</v>
      </c>
      <c r="V6" s="9">
        <f t="shared" ref="V6:V7" si="10">$N6*J6</f>
        <v>92728.50192979179</v>
      </c>
      <c r="W6" s="6">
        <f t="shared" ref="W6:W7" si="11">$N6*K6</f>
        <v>98181.356978566982</v>
      </c>
      <c r="X6" s="41">
        <f>VLOOKUP($B6,'Under Construction'!$B$6:$J$8,5,0)</f>
        <v>12701.6934</v>
      </c>
      <c r="Y6" s="14">
        <f>VLOOKUP($B6,'Under Construction'!$B$6:$J$8,7,0)</f>
        <v>0</v>
      </c>
      <c r="Z6" s="14">
        <f>VLOOKUP($B6,'Under Construction'!$B$6:$J$8,9,0)</f>
        <v>0</v>
      </c>
      <c r="AA6" s="44">
        <f t="shared" ref="AA6:AA7" si="12">SUM(X6:Z6)</f>
        <v>12701.6934</v>
      </c>
      <c r="AB6" s="5">
        <f>VLOOKUP($B6,'Mass Goal Generation Growth'!$B$5:$L$7,'New Source Complements'!AB$4-2019,0)</f>
        <v>29209.277680548894</v>
      </c>
      <c r="AC6" s="9">
        <f>VLOOKUP($B6,'Mass Goal Generation Growth'!$B$5:$L$7,'New Source Complements'!AC$4-2019,0)</f>
        <v>27898.363962523094</v>
      </c>
      <c r="AD6" s="9">
        <f>VLOOKUP($B6,'Mass Goal Generation Growth'!$B$5:$L$7,'New Source Complements'!AD$4-2019,0)</f>
        <v>28591.195250360935</v>
      </c>
      <c r="AE6" s="9">
        <f>VLOOKUP($B6,'Mass Goal Generation Growth'!$B$5:$L$7,'New Source Complements'!AE$4-2019,0)</f>
        <v>31564.666513452317</v>
      </c>
      <c r="AF6" s="9">
        <f>VLOOKUP($B6,'Mass Goal Generation Growth'!$B$5:$L$7,'New Source Complements'!AF$4-2019,0)</f>
        <v>34147.87331467597</v>
      </c>
      <c r="AG6" s="9">
        <f>VLOOKUP($B6,'Mass Goal Generation Growth'!$B$5:$L$7,'New Source Complements'!AG$4-2019,0)</f>
        <v>34896.566944321647</v>
      </c>
      <c r="AH6" s="9">
        <f>VLOOKUP($B6,'Mass Goal Generation Growth'!$B$5:$L$7,'New Source Complements'!AH$4-2019,0)</f>
        <v>40576.43551279221</v>
      </c>
      <c r="AI6" s="9">
        <f>VLOOKUP($B6,'Mass Goal Generation Growth'!$B$5:$L$7,'New Source Complements'!AI$4-2019,0)</f>
        <v>46183.19804332382</v>
      </c>
      <c r="AJ6" s="6">
        <f>VLOOKUP($B6,'Mass Goal Generation Growth'!$B$5:$L$7,'New Source Complements'!AJ$4-2019,0)</f>
        <v>51130.970114517215</v>
      </c>
      <c r="AK6" s="51">
        <f t="shared" ref="AK6:AK7" si="13">MAX(O6-$AA6-AB6,0)</f>
        <v>2976.2090840988531</v>
      </c>
      <c r="AL6" s="20">
        <f t="shared" ref="AL6:AL7" si="14">MAX(P6-$AA6-AC6,0)</f>
        <v>10875.578920840773</v>
      </c>
      <c r="AM6" s="20">
        <f t="shared" ref="AM6:AM7" si="15">MAX(Q6-$AA6-AD6,0)</f>
        <v>17854.935851622315</v>
      </c>
      <c r="AN6" s="20">
        <f t="shared" ref="AN6:AN7" si="16">MAX(R6-$AA6-AE6,0)</f>
        <v>22014.522143099621</v>
      </c>
      <c r="AO6" s="20">
        <f t="shared" ref="AO6:AO7" si="17">MAX(S6-$AA6-AF6,0)</f>
        <v>25720.467523434134</v>
      </c>
      <c r="AP6" s="20">
        <f t="shared" ref="AP6:AP7" si="18">MAX(T6-$AA6-AG6,0)</f>
        <v>31461.71259919912</v>
      </c>
      <c r="AQ6" s="20">
        <f t="shared" ref="AQ6:AQ7" si="19">MAX(U6-$AA6-AH6,0)</f>
        <v>32480.452473020348</v>
      </c>
      <c r="AR6" s="20">
        <f t="shared" ref="AR6:AR7" si="20">MAX(V6-$AA6-AI6,0)</f>
        <v>33843.610486467966</v>
      </c>
      <c r="AS6" s="44">
        <f t="shared" ref="AS6:AS7" si="21">MAX(W6-$AA6-AJ6,0)</f>
        <v>34348.693464049764</v>
      </c>
    </row>
    <row r="7" spans="2:45" ht="15.75" thickBot="1" x14ac:dyDescent="0.3">
      <c r="B7" s="38" t="s">
        <v>41</v>
      </c>
      <c r="C7" s="31">
        <f>VLOOKUP($B7,'Net Energy for Load'!$W$31:$AP$33,C$4-2011,0)</f>
        <v>8.5527841085234479E-2</v>
      </c>
      <c r="D7" s="31">
        <f>VLOOKUP($B7,'Net Energy for Load'!$W$31:$AP$33,D$4-2011,0)</f>
        <v>9.5504760290578528E-2</v>
      </c>
      <c r="E7" s="31">
        <f>VLOOKUP($B7,'Net Energy for Load'!$W$31:$AP$33,E$4-2011,0)</f>
        <v>0.10773912781206474</v>
      </c>
      <c r="F7" s="31">
        <f>VLOOKUP($B7,'Net Energy for Load'!$W$31:$AP$33,F$4-2011,0)</f>
        <v>0.11864190120828133</v>
      </c>
      <c r="G7" s="31">
        <f>VLOOKUP($B7,'Net Energy for Load'!$W$31:$AP$33,G$4-2011,0)</f>
        <v>0.13038318638362223</v>
      </c>
      <c r="H7" s="31">
        <f>VLOOKUP($B7,'Net Energy for Load'!$W$31:$AP$33,H$4-2011,0)</f>
        <v>0.14008726078444922</v>
      </c>
      <c r="I7" s="31">
        <f>VLOOKUP($B7,'Net Energy for Load'!$W$31:$AP$33,I$4-2011,0)</f>
        <v>0.15098279343677001</v>
      </c>
      <c r="J7" s="31">
        <f>VLOOKUP($B7,'Net Energy for Load'!$W$31:$AP$33,J$4-2011,0)</f>
        <v>0.16304980697501192</v>
      </c>
      <c r="K7" s="32">
        <f>VLOOKUP($B7,'Net Energy for Load'!$W$31:$AP$33,K$4-2011,0)</f>
        <v>0.17368715950653346</v>
      </c>
      <c r="L7" s="35">
        <f>VLOOKUP($B7,'2012 Sales'!$B$3:$D$5,3,0)</f>
        <v>365467.266</v>
      </c>
      <c r="M7" s="36">
        <v>7.51E-2</v>
      </c>
      <c r="N7" s="7">
        <f t="shared" si="2"/>
        <v>392913.85767659999</v>
      </c>
      <c r="O7" s="35">
        <f t="shared" si="3"/>
        <v>33605.073979550682</v>
      </c>
      <c r="P7" s="10">
        <f t="shared" si="4"/>
        <v>37525.143792250172</v>
      </c>
      <c r="Q7" s="10">
        <f t="shared" si="5"/>
        <v>42332.19633135062</v>
      </c>
      <c r="R7" s="10">
        <f t="shared" si="6"/>
        <v>46616.047085831888</v>
      </c>
      <c r="S7" s="10">
        <f t="shared" si="7"/>
        <v>51229.360738156152</v>
      </c>
      <c r="T7" s="10">
        <f t="shared" si="8"/>
        <v>55042.22604616583</v>
      </c>
      <c r="U7" s="10">
        <f t="shared" si="9"/>
        <v>59323.23181203055</v>
      </c>
      <c r="V7" s="10">
        <f t="shared" si="10"/>
        <v>64064.528651976936</v>
      </c>
      <c r="W7" s="7">
        <f t="shared" si="11"/>
        <v>68244.091870603006</v>
      </c>
      <c r="X7" s="42">
        <f>VLOOKUP($B7,'Under Construction'!$B$6:$J$8,5,0)</f>
        <v>11991.038400000001</v>
      </c>
      <c r="Y7" s="43">
        <f>VLOOKUP($B7,'Under Construction'!$B$6:$J$8,7,0)</f>
        <v>0</v>
      </c>
      <c r="Z7" s="43">
        <f>VLOOKUP($B7,'Under Construction'!$B$6:$J$8,9,0)</f>
        <v>0</v>
      </c>
      <c r="AA7" s="45">
        <f t="shared" si="12"/>
        <v>11991.038400000001</v>
      </c>
      <c r="AB7" s="35">
        <f>VLOOKUP($B7,'Mass Goal Generation Growth'!$B$5:$L$7,'New Source Complements'!AB$4-2019,0)</f>
        <v>22688.511493269056</v>
      </c>
      <c r="AC7" s="10">
        <f>VLOOKUP($B7,'Mass Goal Generation Growth'!$B$5:$L$7,'New Source Complements'!AC$4-2019,0)</f>
        <v>21670.250059919108</v>
      </c>
      <c r="AD7" s="10">
        <f>VLOOKUP($B7,'Mass Goal Generation Growth'!$B$5:$L$7,'New Source Complements'!AD$4-2019,0)</f>
        <v>22208.411626559737</v>
      </c>
      <c r="AE7" s="10">
        <f>VLOOKUP($B7,'Mass Goal Generation Growth'!$B$5:$L$7,'New Source Complements'!AE$4-2019,0)</f>
        <v>24518.076304521957</v>
      </c>
      <c r="AF7" s="10">
        <f>VLOOKUP($B7,'Mass Goal Generation Growth'!$B$5:$L$7,'New Source Complements'!AF$4-2019,0)</f>
        <v>26524.600321994763</v>
      </c>
      <c r="AG7" s="10">
        <f>VLOOKUP($B7,'Mass Goal Generation Growth'!$B$5:$L$7,'New Source Complements'!AG$4-2019,0)</f>
        <v>27106.153354799317</v>
      </c>
      <c r="AH7" s="10">
        <f>VLOOKUP($B7,'Mass Goal Generation Growth'!$B$5:$L$7,'New Source Complements'!AH$4-2019,0)</f>
        <v>31518.031139158833</v>
      </c>
      <c r="AI7" s="10">
        <f>VLOOKUP($B7,'Mass Goal Generation Growth'!$B$5:$L$7,'New Source Complements'!AI$4-2019,0)</f>
        <v>35873.123295330428</v>
      </c>
      <c r="AJ7" s="7">
        <f>VLOOKUP($B7,'Mass Goal Generation Growth'!$B$5:$L$7,'New Source Complements'!AJ$4-2019,0)</f>
        <v>39716.339985967803</v>
      </c>
      <c r="AK7" s="52">
        <f t="shared" si="13"/>
        <v>0</v>
      </c>
      <c r="AL7" s="53">
        <f t="shared" si="14"/>
        <v>3863.8553323310625</v>
      </c>
      <c r="AM7" s="53">
        <f t="shared" si="15"/>
        <v>8132.7463047908823</v>
      </c>
      <c r="AN7" s="53">
        <f t="shared" si="16"/>
        <v>10106.932381309925</v>
      </c>
      <c r="AO7" s="53">
        <f t="shared" si="17"/>
        <v>12713.722016161391</v>
      </c>
      <c r="AP7" s="53">
        <f t="shared" si="18"/>
        <v>15945.034291366508</v>
      </c>
      <c r="AQ7" s="53">
        <f t="shared" si="19"/>
        <v>15814.162272871719</v>
      </c>
      <c r="AR7" s="53">
        <f t="shared" si="20"/>
        <v>16200.366956646511</v>
      </c>
      <c r="AS7" s="45">
        <f t="shared" si="21"/>
        <v>16536.713484635198</v>
      </c>
    </row>
    <row r="9" spans="2:45" ht="21.75" thickBot="1" x14ac:dyDescent="0.4">
      <c r="B9" s="16" t="s">
        <v>151</v>
      </c>
    </row>
    <row r="10" spans="2:45" ht="15.75" x14ac:dyDescent="0.25">
      <c r="D10" s="133" t="s">
        <v>153</v>
      </c>
      <c r="E10" s="134"/>
      <c r="F10" s="134"/>
      <c r="G10" s="134"/>
      <c r="H10" s="134"/>
      <c r="I10" s="134"/>
      <c r="J10" s="134"/>
      <c r="K10" s="134"/>
      <c r="L10" s="134"/>
      <c r="M10" s="135"/>
    </row>
    <row r="11" spans="2:45" ht="15.75" thickBot="1" x14ac:dyDescent="0.3">
      <c r="D11" s="12"/>
      <c r="E11" s="90">
        <v>2022</v>
      </c>
      <c r="F11" s="90">
        <v>2023</v>
      </c>
      <c r="G11" s="90">
        <v>2024</v>
      </c>
      <c r="H11" s="90">
        <v>2025</v>
      </c>
      <c r="I11" s="90">
        <v>2026</v>
      </c>
      <c r="J11" s="90">
        <v>2027</v>
      </c>
      <c r="K11" s="90">
        <v>2028</v>
      </c>
      <c r="L11" s="90">
        <v>2029</v>
      </c>
      <c r="M11" s="91">
        <v>2030</v>
      </c>
    </row>
    <row r="12" spans="2:45" x14ac:dyDescent="0.25">
      <c r="D12" s="8" t="s">
        <v>131</v>
      </c>
      <c r="E12" s="9">
        <f t="shared" ref="E12:M14" si="22">AK5*10^3</f>
        <v>0</v>
      </c>
      <c r="F12" s="9">
        <f t="shared" si="22"/>
        <v>10443379.310184974</v>
      </c>
      <c r="G12" s="9">
        <f t="shared" si="22"/>
        <v>30146116.184819926</v>
      </c>
      <c r="H12" s="9">
        <f t="shared" si="22"/>
        <v>36428104.679368958</v>
      </c>
      <c r="I12" s="9">
        <f t="shared" si="22"/>
        <v>43208163.328197494</v>
      </c>
      <c r="J12" s="9">
        <f t="shared" si="22"/>
        <v>57293617.390594564</v>
      </c>
      <c r="K12" s="9">
        <f t="shared" si="22"/>
        <v>47601792.317225888</v>
      </c>
      <c r="L12" s="9">
        <f t="shared" si="22"/>
        <v>38646886.04261665</v>
      </c>
      <c r="M12" s="6">
        <f t="shared" si="22"/>
        <v>29089866.999617718</v>
      </c>
    </row>
    <row r="13" spans="2:45" x14ac:dyDescent="0.25">
      <c r="D13" s="8" t="s">
        <v>132</v>
      </c>
      <c r="E13" s="9">
        <f t="shared" si="22"/>
        <v>2976209.0840988532</v>
      </c>
      <c r="F13" s="9">
        <f t="shared" si="22"/>
        <v>10875578.920840774</v>
      </c>
      <c r="G13" s="9">
        <f t="shared" si="22"/>
        <v>17854935.851622313</v>
      </c>
      <c r="H13" s="9">
        <f t="shared" si="22"/>
        <v>22014522.143099621</v>
      </c>
      <c r="I13" s="9">
        <f t="shared" si="22"/>
        <v>25720467.523434132</v>
      </c>
      <c r="J13" s="9">
        <f t="shared" si="22"/>
        <v>31461712.59919912</v>
      </c>
      <c r="K13" s="9">
        <f t="shared" si="22"/>
        <v>32480452.473020349</v>
      </c>
      <c r="L13" s="9">
        <f t="shared" si="22"/>
        <v>33843610.486467965</v>
      </c>
      <c r="M13" s="6">
        <f t="shared" si="22"/>
        <v>34348693.464049764</v>
      </c>
    </row>
    <row r="14" spans="2:45" ht="15.75" thickBot="1" x14ac:dyDescent="0.3">
      <c r="D14" s="8" t="s">
        <v>41</v>
      </c>
      <c r="E14" s="10">
        <f t="shared" si="22"/>
        <v>0</v>
      </c>
      <c r="F14" s="10">
        <f t="shared" si="22"/>
        <v>3863855.3323310623</v>
      </c>
      <c r="G14" s="10">
        <f t="shared" si="22"/>
        <v>8132746.3047908824</v>
      </c>
      <c r="H14" s="10">
        <f t="shared" si="22"/>
        <v>10106932.381309925</v>
      </c>
      <c r="I14" s="10">
        <f t="shared" si="22"/>
        <v>12713722.016161392</v>
      </c>
      <c r="J14" s="10">
        <f t="shared" si="22"/>
        <v>15945034.291366508</v>
      </c>
      <c r="K14" s="10">
        <f t="shared" si="22"/>
        <v>15814162.27287172</v>
      </c>
      <c r="L14" s="10">
        <f t="shared" si="22"/>
        <v>16200366.956646511</v>
      </c>
      <c r="M14" s="7">
        <f t="shared" si="22"/>
        <v>16536713.484635198</v>
      </c>
    </row>
    <row r="15" spans="2:45" ht="15.75" x14ac:dyDescent="0.25">
      <c r="B15" s="133" t="s">
        <v>157</v>
      </c>
      <c r="C15" s="134"/>
      <c r="D15" s="135"/>
      <c r="E15" s="133" t="s">
        <v>156</v>
      </c>
      <c r="F15" s="134"/>
      <c r="G15" s="134"/>
      <c r="H15" s="134"/>
      <c r="I15" s="134"/>
      <c r="J15" s="134"/>
      <c r="K15" s="134"/>
      <c r="L15" s="134"/>
      <c r="M15" s="135"/>
    </row>
    <row r="16" spans="2:45" ht="30.75" thickBot="1" x14ac:dyDescent="0.3">
      <c r="B16" s="92" t="s">
        <v>0</v>
      </c>
      <c r="C16" s="93" t="s">
        <v>152</v>
      </c>
      <c r="D16" s="94" t="s">
        <v>158</v>
      </c>
      <c r="E16" s="92">
        <v>2022</v>
      </c>
      <c r="F16" s="95">
        <v>2023</v>
      </c>
      <c r="G16" s="95">
        <v>2024</v>
      </c>
      <c r="H16" s="95">
        <v>2025</v>
      </c>
      <c r="I16" s="95">
        <v>2026</v>
      </c>
      <c r="J16" s="95">
        <v>2027</v>
      </c>
      <c r="K16" s="95">
        <v>2028</v>
      </c>
      <c r="L16" s="95">
        <v>2029</v>
      </c>
      <c r="M16" s="94">
        <v>2030</v>
      </c>
    </row>
    <row r="17" spans="2:13" x14ac:dyDescent="0.25">
      <c r="B17" s="8" t="s">
        <v>1</v>
      </c>
      <c r="C17" s="1" t="str">
        <f>VLOOKUP(B17,'State Interconnection Mapping'!$A$3:$B$52,2,0)</f>
        <v>Eastern</v>
      </c>
      <c r="D17" s="57">
        <f>VLOOKUP(B17,'State Share Interconnect Gen '!$C$4:$F$53,4,0)</f>
        <v>5.044289718088308E-2</v>
      </c>
      <c r="E17" s="5">
        <f>$D17*VLOOKUP($C17,$D$12:$M$14,E$16-2020,0)</f>
        <v>0</v>
      </c>
      <c r="F17" s="9">
        <f t="shared" ref="F17:M32" si="23">$D17*VLOOKUP($C17,$D$12:$M$14,F$16-2020,0)</f>
        <v>526794.30876462231</v>
      </c>
      <c r="G17" s="9">
        <f t="shared" si="23"/>
        <v>1520657.4391138267</v>
      </c>
      <c r="H17" s="9">
        <f t="shared" si="23"/>
        <v>1837539.1388358541</v>
      </c>
      <c r="I17" s="9">
        <f t="shared" si="23"/>
        <v>2179544.9401390692</v>
      </c>
      <c r="J17" s="9">
        <f t="shared" si="23"/>
        <v>2890056.0511546163</v>
      </c>
      <c r="K17" s="9">
        <f t="shared" si="23"/>
        <v>2401172.3154835757</v>
      </c>
      <c r="L17" s="9">
        <f t="shared" si="23"/>
        <v>1949460.899009017</v>
      </c>
      <c r="M17" s="6">
        <f t="shared" si="23"/>
        <v>1467377.1700672803</v>
      </c>
    </row>
    <row r="18" spans="2:13" x14ac:dyDescent="0.25">
      <c r="B18" s="8" t="s">
        <v>2</v>
      </c>
      <c r="C18" s="1" t="str">
        <f>VLOOKUP(B18,'State Interconnection Mapping'!$A$3:$B$52,2,0)</f>
        <v>Western</v>
      </c>
      <c r="D18" s="57">
        <f>VLOOKUP(B18,'State Share Interconnect Gen '!$C$4:$F$53,4,0)</f>
        <v>0.12490096413146874</v>
      </c>
      <c r="E18" s="5">
        <f t="shared" ref="E18:M49" si="24">$D18*VLOOKUP($C18,$D$12:$M$14,E$16-2020,0)</f>
        <v>371731.38406078232</v>
      </c>
      <c r="F18" s="9">
        <f t="shared" si="23"/>
        <v>1358370.2927008909</v>
      </c>
      <c r="G18" s="9">
        <f t="shared" si="23"/>
        <v>2230098.702373154</v>
      </c>
      <c r="H18" s="9">
        <f t="shared" si="23"/>
        <v>2749635.0405667103</v>
      </c>
      <c r="I18" s="9">
        <f t="shared" si="23"/>
        <v>3212511.1915890533</v>
      </c>
      <c r="J18" s="9">
        <f t="shared" si="23"/>
        <v>3929598.2368671475</v>
      </c>
      <c r="K18" s="9">
        <f t="shared" si="23"/>
        <v>4056839.8293065899</v>
      </c>
      <c r="L18" s="9">
        <f t="shared" si="23"/>
        <v>4227099.5794497347</v>
      </c>
      <c r="M18" s="6">
        <f t="shared" si="23"/>
        <v>4290184.9303160943</v>
      </c>
    </row>
    <row r="19" spans="2:13" x14ac:dyDescent="0.25">
      <c r="B19" s="8" t="s">
        <v>3</v>
      </c>
      <c r="C19" s="1" t="str">
        <f>VLOOKUP(B19,'State Interconnection Mapping'!$A$3:$B$52,2,0)</f>
        <v>Eastern</v>
      </c>
      <c r="D19" s="57">
        <f>VLOOKUP(B19,'State Share Interconnect Gen '!$C$4:$F$53,4,0)</f>
        <v>2.4223357016897845E-2</v>
      </c>
      <c r="E19" s="5">
        <f t="shared" si="24"/>
        <v>0</v>
      </c>
      <c r="F19" s="9">
        <f t="shared" si="23"/>
        <v>252973.70549349498</v>
      </c>
      <c r="G19" s="9">
        <f t="shared" si="23"/>
        <v>730240.13501777546</v>
      </c>
      <c r="H19" s="9">
        <f t="shared" si="23"/>
        <v>882410.98509728129</v>
      </c>
      <c r="I19" s="9">
        <f t="shared" si="23"/>
        <v>1046646.7663433609</v>
      </c>
      <c r="J19" s="9">
        <f t="shared" si="23"/>
        <v>1387843.7488419192</v>
      </c>
      <c r="K19" s="9">
        <f t="shared" si="23"/>
        <v>1153075.2099443877</v>
      </c>
      <c r="L19" s="9">
        <f t="shared" si="23"/>
        <v>936157.31820166949</v>
      </c>
      <c r="M19" s="6">
        <f t="shared" si="23"/>
        <v>704654.23390581494</v>
      </c>
    </row>
    <row r="20" spans="2:13" x14ac:dyDescent="0.25">
      <c r="B20" s="8" t="s">
        <v>4</v>
      </c>
      <c r="C20" s="1" t="str">
        <f>VLOOKUP(B20,'State Interconnection Mapping'!$A$3:$B$52,2,0)</f>
        <v>Western</v>
      </c>
      <c r="D20" s="57">
        <f>VLOOKUP(B20,'State Share Interconnect Gen '!$C$4:$F$53,4,0)</f>
        <v>0.24949808356557901</v>
      </c>
      <c r="E20" s="5">
        <f t="shared" si="24"/>
        <v>742558.46277313109</v>
      </c>
      <c r="F20" s="9">
        <f t="shared" si="23"/>
        <v>2713436.098415981</v>
      </c>
      <c r="G20" s="9">
        <f t="shared" si="23"/>
        <v>4454772.277166117</v>
      </c>
      <c r="H20" s="9">
        <f t="shared" si="23"/>
        <v>5492581.0853153588</v>
      </c>
      <c r="I20" s="9">
        <f t="shared" si="23"/>
        <v>6417207.3555075303</v>
      </c>
      <c r="J20" s="9">
        <f t="shared" si="23"/>
        <v>7849636.9991912125</v>
      </c>
      <c r="K20" s="9">
        <f t="shared" si="23"/>
        <v>8103810.6453614486</v>
      </c>
      <c r="L20" s="9">
        <f t="shared" si="23"/>
        <v>8443915.9573136903</v>
      </c>
      <c r="M20" s="6">
        <f t="shared" si="23"/>
        <v>8569933.1922619455</v>
      </c>
    </row>
    <row r="21" spans="2:13" x14ac:dyDescent="0.25">
      <c r="B21" s="8" t="s">
        <v>5</v>
      </c>
      <c r="C21" s="1" t="str">
        <f>VLOOKUP(B21,'State Interconnection Mapping'!$A$3:$B$52,2,0)</f>
        <v>Western</v>
      </c>
      <c r="D21" s="57">
        <f>VLOOKUP(B21,'State Share Interconnect Gen '!$C$4:$F$53,4,0)</f>
        <v>0.10867855797835392</v>
      </c>
      <c r="E21" s="5">
        <f t="shared" si="24"/>
        <v>323450.11150194082</v>
      </c>
      <c r="F21" s="9">
        <f t="shared" si="23"/>
        <v>1181942.2342967577</v>
      </c>
      <c r="G21" s="9">
        <f t="shared" si="23"/>
        <v>1940448.6811503256</v>
      </c>
      <c r="H21" s="9">
        <f t="shared" si="23"/>
        <v>2392506.5210946086</v>
      </c>
      <c r="I21" s="9">
        <f t="shared" si="23"/>
        <v>2795263.3209759053</v>
      </c>
      <c r="J21" s="9">
        <f t="shared" si="23"/>
        <v>3419213.5568103697</v>
      </c>
      <c r="K21" s="9">
        <f t="shared" si="23"/>
        <v>3529928.7372523108</v>
      </c>
      <c r="L21" s="9">
        <f t="shared" si="23"/>
        <v>3678074.7844504355</v>
      </c>
      <c r="M21" s="6">
        <f t="shared" si="23"/>
        <v>3732966.4741134387</v>
      </c>
    </row>
    <row r="22" spans="2:13" x14ac:dyDescent="0.25">
      <c r="B22" s="8" t="s">
        <v>6</v>
      </c>
      <c r="C22" s="1" t="str">
        <f>VLOOKUP(B22,'State Interconnection Mapping'!$A$3:$B$52,2,0)</f>
        <v>Eastern</v>
      </c>
      <c r="D22" s="57">
        <f>VLOOKUP(B22,'State Share Interconnect Gen '!$C$4:$F$53,4,0)</f>
        <v>7.97461334200468E-3</v>
      </c>
      <c r="E22" s="5">
        <f t="shared" si="24"/>
        <v>0</v>
      </c>
      <c r="F22" s="9">
        <f t="shared" si="23"/>
        <v>83281.91198261673</v>
      </c>
      <c r="G22" s="9">
        <f t="shared" si="23"/>
        <v>240403.62033708818</v>
      </c>
      <c r="H22" s="9">
        <f t="shared" si="23"/>
        <v>290500.04960003879</v>
      </c>
      <c r="I22" s="9">
        <f t="shared" si="23"/>
        <v>344568.39576056105</v>
      </c>
      <c r="J22" s="9">
        <f t="shared" si="23"/>
        <v>456894.44565474679</v>
      </c>
      <c r="K22" s="9">
        <f t="shared" si="23"/>
        <v>379605.88811628544</v>
      </c>
      <c r="L22" s="9">
        <f t="shared" si="23"/>
        <v>308193.97306238516</v>
      </c>
      <c r="M22" s="6">
        <f t="shared" si="23"/>
        <v>231980.44149229312</v>
      </c>
    </row>
    <row r="23" spans="2:13" x14ac:dyDescent="0.25">
      <c r="B23" s="8" t="s">
        <v>7</v>
      </c>
      <c r="C23" s="1" t="str">
        <f>VLOOKUP(B23,'State Interconnection Mapping'!$A$3:$B$52,2,0)</f>
        <v>Eastern</v>
      </c>
      <c r="D23" s="57">
        <f>VLOOKUP(B23,'State Share Interconnect Gen '!$C$4:$F$53,4,0)</f>
        <v>4.6431935493210534E-3</v>
      </c>
      <c r="E23" s="5">
        <f t="shared" si="24"/>
        <v>0</v>
      </c>
      <c r="F23" s="9">
        <f t="shared" si="23"/>
        <v>48490.631446163825</v>
      </c>
      <c r="G23" s="9">
        <f t="shared" si="23"/>
        <v>139974.25220643889</v>
      </c>
      <c r="H23" s="9">
        <f t="shared" si="23"/>
        <v>169142.74066123803</v>
      </c>
      <c r="I23" s="9">
        <f t="shared" si="23"/>
        <v>200623.8652434971</v>
      </c>
      <c r="J23" s="9">
        <f t="shared" si="23"/>
        <v>266025.35468527721</v>
      </c>
      <c r="K23" s="9">
        <f t="shared" si="23"/>
        <v>221024.33502346373</v>
      </c>
      <c r="L23" s="9">
        <f t="shared" si="23"/>
        <v>179444.97197442348</v>
      </c>
      <c r="M23" s="6">
        <f t="shared" si="23"/>
        <v>135069.88280323238</v>
      </c>
    </row>
    <row r="24" spans="2:13" x14ac:dyDescent="0.25">
      <c r="B24" s="8" t="s">
        <v>8</v>
      </c>
      <c r="C24" s="1" t="str">
        <f>VLOOKUP(B24,'State Interconnection Mapping'!$A$3:$B$52,2,0)</f>
        <v>Eastern</v>
      </c>
      <c r="D24" s="57">
        <f>VLOOKUP(B24,'State Share Interconnect Gen '!$C$4:$F$53,4,0)</f>
        <v>0.10325491462698598</v>
      </c>
      <c r="E24" s="5">
        <f t="shared" si="24"/>
        <v>0</v>
      </c>
      <c r="F24" s="9">
        <f t="shared" si="23"/>
        <v>1078330.2390903812</v>
      </c>
      <c r="G24" s="9">
        <f t="shared" si="23"/>
        <v>3112734.6529987818</v>
      </c>
      <c r="H24" s="9">
        <f t="shared" si="23"/>
        <v>3761380.8386911503</v>
      </c>
      <c r="I24" s="9">
        <f t="shared" si="23"/>
        <v>4461455.215641899</v>
      </c>
      <c r="J24" s="9">
        <f t="shared" si="23"/>
        <v>5915847.5723370407</v>
      </c>
      <c r="K24" s="9">
        <f t="shared" si="23"/>
        <v>4915119.0018066764</v>
      </c>
      <c r="L24" s="9">
        <f t="shared" si="23"/>
        <v>3990480.9189292383</v>
      </c>
      <c r="M24" s="6">
        <f t="shared" si="23"/>
        <v>3003671.7335559041</v>
      </c>
    </row>
    <row r="25" spans="2:13" x14ac:dyDescent="0.25">
      <c r="B25" s="8" t="s">
        <v>9</v>
      </c>
      <c r="C25" s="1" t="str">
        <f>VLOOKUP(B25,'State Interconnection Mapping'!$A$3:$B$52,2,0)</f>
        <v>Eastern</v>
      </c>
      <c r="D25" s="57">
        <f>VLOOKUP(B25,'State Share Interconnect Gen '!$C$4:$F$53,4,0)</f>
        <v>3.9886984817914611E-2</v>
      </c>
      <c r="E25" s="5">
        <f t="shared" si="24"/>
        <v>0</v>
      </c>
      <c r="F25" s="9">
        <f t="shared" si="23"/>
        <v>416554.91199307161</v>
      </c>
      <c r="G25" s="9">
        <f t="shared" si="23"/>
        <v>1202437.6785830024</v>
      </c>
      <c r="H25" s="9">
        <f t="shared" si="23"/>
        <v>1453007.2582913938</v>
      </c>
      <c r="I25" s="9">
        <f t="shared" si="23"/>
        <v>1723443.3546817882</v>
      </c>
      <c r="J25" s="9">
        <f t="shared" si="23"/>
        <v>2285269.6470220541</v>
      </c>
      <c r="K25" s="9">
        <f t="shared" si="23"/>
        <v>1898691.9674627134</v>
      </c>
      <c r="L25" s="9">
        <f t="shared" si="23"/>
        <v>1541507.7568415264</v>
      </c>
      <c r="M25" s="6">
        <f t="shared" si="23"/>
        <v>1160307.0833689072</v>
      </c>
    </row>
    <row r="26" spans="2:13" x14ac:dyDescent="0.25">
      <c r="B26" s="8" t="s">
        <v>10</v>
      </c>
      <c r="C26" s="1" t="str">
        <f>VLOOKUP(B26,'State Interconnection Mapping'!$A$3:$B$52,2,0)</f>
        <v>Western</v>
      </c>
      <c r="D26" s="57">
        <f>VLOOKUP(B26,'State Share Interconnect Gen '!$C$4:$F$53,4,0)</f>
        <v>8.2623524698257709E-3</v>
      </c>
      <c r="E26" s="5">
        <f t="shared" si="24"/>
        <v>24590.488476722054</v>
      </c>
      <c r="F26" s="9">
        <f t="shared" si="23"/>
        <v>89857.866357393854</v>
      </c>
      <c r="G26" s="9">
        <f t="shared" si="23"/>
        <v>147523.77333223232</v>
      </c>
      <c r="H26" s="9">
        <f t="shared" si="23"/>
        <v>181891.74140107329</v>
      </c>
      <c r="I26" s="9">
        <f t="shared" si="23"/>
        <v>212511.56836731953</v>
      </c>
      <c r="J26" s="9">
        <f t="shared" si="23"/>
        <v>259947.75879894142</v>
      </c>
      <c r="K26" s="9">
        <f t="shared" si="23"/>
        <v>268364.94671151822</v>
      </c>
      <c r="L26" s="9">
        <f t="shared" si="23"/>
        <v>279627.83869068994</v>
      </c>
      <c r="M26" s="6">
        <f t="shared" si="23"/>
        <v>283801.01227797987</v>
      </c>
    </row>
    <row r="27" spans="2:13" x14ac:dyDescent="0.25">
      <c r="B27" s="8" t="s">
        <v>11</v>
      </c>
      <c r="C27" s="1" t="str">
        <f>VLOOKUP(B27,'State Interconnection Mapping'!$A$3:$B$52,2,0)</f>
        <v>Eastern</v>
      </c>
      <c r="D27" s="57">
        <f>VLOOKUP(B27,'State Share Interconnect Gen '!$C$4:$F$53,4,0)</f>
        <v>4.819463168374695E-2</v>
      </c>
      <c r="E27" s="5">
        <f t="shared" si="24"/>
        <v>0</v>
      </c>
      <c r="F27" s="9">
        <f t="shared" si="23"/>
        <v>503314.81938802812</v>
      </c>
      <c r="G27" s="9">
        <f t="shared" si="23"/>
        <v>1452880.9662228392</v>
      </c>
      <c r="H27" s="9">
        <f t="shared" si="23"/>
        <v>1755639.0879591657</v>
      </c>
      <c r="I27" s="9">
        <f t="shared" si="23"/>
        <v>2082401.51733366</v>
      </c>
      <c r="J27" s="9">
        <f t="shared" si="23"/>
        <v>2761244.7879692242</v>
      </c>
      <c r="K27" s="9">
        <f t="shared" si="23"/>
        <v>2294150.8482149169</v>
      </c>
      <c r="L27" s="9">
        <f t="shared" si="23"/>
        <v>1862572.4385476501</v>
      </c>
      <c r="M27" s="6">
        <f t="shared" si="23"/>
        <v>1401975.4257757608</v>
      </c>
    </row>
    <row r="28" spans="2:13" x14ac:dyDescent="0.25">
      <c r="B28" s="8" t="s">
        <v>12</v>
      </c>
      <c r="C28" s="1" t="str">
        <f>VLOOKUP(B28,'State Interconnection Mapping'!$A$3:$B$52,2,0)</f>
        <v>Eastern</v>
      </c>
      <c r="D28" s="57">
        <f>VLOOKUP(B28,'State Share Interconnect Gen '!$C$4:$F$53,4,0)</f>
        <v>5.5320298005429196E-2</v>
      </c>
      <c r="E28" s="5">
        <f t="shared" si="24"/>
        <v>0</v>
      </c>
      <c r="F28" s="9">
        <f t="shared" si="23"/>
        <v>577730.85562316631</v>
      </c>
      <c r="G28" s="9">
        <f t="shared" si="23"/>
        <v>1667692.1310505306</v>
      </c>
      <c r="H28" s="9">
        <f t="shared" si="23"/>
        <v>2015213.6066356604</v>
      </c>
      <c r="I28" s="9">
        <f t="shared" si="23"/>
        <v>2390288.4715831429</v>
      </c>
      <c r="J28" s="9">
        <f t="shared" si="23"/>
        <v>3169499.9878567318</v>
      </c>
      <c r="K28" s="9">
        <f t="shared" si="23"/>
        <v>2633345.3365814863</v>
      </c>
      <c r="L28" s="9">
        <f t="shared" si="23"/>
        <v>2137957.2528594155</v>
      </c>
      <c r="M28" s="6">
        <f t="shared" si="23"/>
        <v>1609260.1113571527</v>
      </c>
    </row>
    <row r="29" spans="2:13" x14ac:dyDescent="0.25">
      <c r="B29" s="8" t="s">
        <v>13</v>
      </c>
      <c r="C29" s="1" t="str">
        <f>VLOOKUP(B29,'State Interconnection Mapping'!$A$3:$B$52,2,0)</f>
        <v>Eastern</v>
      </c>
      <c r="D29" s="57">
        <f>VLOOKUP(B29,'State Share Interconnect Gen '!$C$4:$F$53,4,0)</f>
        <v>1.7604965941313826E-2</v>
      </c>
      <c r="E29" s="5">
        <f t="shared" si="24"/>
        <v>0</v>
      </c>
      <c r="F29" s="9">
        <f t="shared" si="23"/>
        <v>183855.33706802793</v>
      </c>
      <c r="G29" s="9">
        <f t="shared" si="23"/>
        <v>530721.3486966443</v>
      </c>
      <c r="H29" s="9">
        <f t="shared" si="23"/>
        <v>641315.54218690528</v>
      </c>
      <c r="I29" s="9">
        <f t="shared" si="23"/>
        <v>760678.24377964193</v>
      </c>
      <c r="J29" s="9">
        <f t="shared" si="23"/>
        <v>1008652.1828160828</v>
      </c>
      <c r="K29" s="9">
        <f t="shared" si="23"/>
        <v>838027.93249025592</v>
      </c>
      <c r="L29" s="9">
        <f t="shared" si="23"/>
        <v>680377.11251810275</v>
      </c>
      <c r="M29" s="6">
        <f t="shared" si="23"/>
        <v>512126.11776561895</v>
      </c>
    </row>
    <row r="30" spans="2:13" x14ac:dyDescent="0.25">
      <c r="B30" s="8" t="s">
        <v>14</v>
      </c>
      <c r="C30" s="1" t="str">
        <f>VLOOKUP(B30,'State Interconnection Mapping'!$A$3:$B$52,2,0)</f>
        <v>Eastern</v>
      </c>
      <c r="D30" s="57">
        <f>VLOOKUP(B30,'State Share Interconnect Gen '!$C$4:$F$53,4,0)</f>
        <v>1.535225494310416E-2</v>
      </c>
      <c r="E30" s="5">
        <f t="shared" si="24"/>
        <v>0</v>
      </c>
      <c r="F30" s="9">
        <f t="shared" si="23"/>
        <v>160329.42163749898</v>
      </c>
      <c r="G30" s="9">
        <f t="shared" si="23"/>
        <v>462810.86121379404</v>
      </c>
      <c r="H30" s="9">
        <f t="shared" si="23"/>
        <v>559253.55013175786</v>
      </c>
      <c r="I30" s="9">
        <f t="shared" si="23"/>
        <v>663342.73903777183</v>
      </c>
      <c r="J30" s="9">
        <f t="shared" si="23"/>
        <v>879586.22079307388</v>
      </c>
      <c r="K30" s="9">
        <f t="shared" si="23"/>
        <v>730794.85140274873</v>
      </c>
      <c r="L30" s="9">
        <f t="shared" si="23"/>
        <v>593316.8472833446</v>
      </c>
      <c r="M30" s="6">
        <f t="shared" si="23"/>
        <v>446595.05443912372</v>
      </c>
    </row>
    <row r="31" spans="2:13" x14ac:dyDescent="0.25">
      <c r="B31" s="8" t="s">
        <v>15</v>
      </c>
      <c r="C31" s="1" t="str">
        <f>VLOOKUP(B31,'State Interconnection Mapping'!$A$3:$B$52,2,0)</f>
        <v>Eastern</v>
      </c>
      <c r="D31" s="57">
        <f>VLOOKUP(B31,'State Share Interconnect Gen '!$C$4:$F$53,4,0)</f>
        <v>4.4313940073417671E-2</v>
      </c>
      <c r="E31" s="5">
        <f t="shared" si="24"/>
        <v>0</v>
      </c>
      <c r="F31" s="9">
        <f t="shared" si="23"/>
        <v>462787.2849155069</v>
      </c>
      <c r="G31" s="9">
        <f t="shared" si="23"/>
        <v>1335893.1860603967</v>
      </c>
      <c r="H31" s="9">
        <f t="shared" si="23"/>
        <v>1614272.8477497417</v>
      </c>
      <c r="I31" s="9">
        <f t="shared" si="23"/>
        <v>1914723.9604081868</v>
      </c>
      <c r="J31" s="9">
        <f t="shared" si="23"/>
        <v>2538905.9276361279</v>
      </c>
      <c r="K31" s="9">
        <f t="shared" si="23"/>
        <v>2109422.9721328216</v>
      </c>
      <c r="L31" s="9">
        <f t="shared" si="23"/>
        <v>1712595.792116716</v>
      </c>
      <c r="M31" s="6">
        <f t="shared" si="23"/>
        <v>1289086.6229647498</v>
      </c>
    </row>
    <row r="32" spans="2:13" x14ac:dyDescent="0.25">
      <c r="B32" s="8" t="s">
        <v>16</v>
      </c>
      <c r="C32" s="1" t="str">
        <f>VLOOKUP(B32,'State Interconnection Mapping'!$A$3:$B$52,2,0)</f>
        <v>Eastern</v>
      </c>
      <c r="D32" s="57">
        <f>VLOOKUP(B32,'State Share Interconnect Gen '!$C$4:$F$53,4,0)</f>
        <v>2.8522131792615854E-2</v>
      </c>
      <c r="E32" s="5">
        <f t="shared" si="24"/>
        <v>0</v>
      </c>
      <c r="F32" s="9">
        <f t="shared" si="23"/>
        <v>297867.4410453735</v>
      </c>
      <c r="G32" s="9">
        <f t="shared" si="23"/>
        <v>859831.4988589437</v>
      </c>
      <c r="H32" s="9">
        <f t="shared" si="23"/>
        <v>1039007.2026201678</v>
      </c>
      <c r="I32" s="9">
        <f t="shared" si="23"/>
        <v>1232388.9289637201</v>
      </c>
      <c r="J32" s="9">
        <f t="shared" si="23"/>
        <v>1634136.1060902458</v>
      </c>
      <c r="K32" s="9">
        <f t="shared" si="23"/>
        <v>1357704.5940366457</v>
      </c>
      <c r="L32" s="9">
        <f t="shared" si="23"/>
        <v>1102291.5770817182</v>
      </c>
      <c r="M32" s="6">
        <f t="shared" si="23"/>
        <v>829705.02039276331</v>
      </c>
    </row>
    <row r="33" spans="2:13" x14ac:dyDescent="0.25">
      <c r="B33" s="8" t="s">
        <v>17</v>
      </c>
      <c r="C33" s="1" t="str">
        <f>VLOOKUP(B33,'State Interconnection Mapping'!$A$3:$B$52,2,0)</f>
        <v>Eastern</v>
      </c>
      <c r="D33" s="57">
        <f>VLOOKUP(B33,'State Share Interconnect Gen '!$C$4:$F$53,4,0)</f>
        <v>2.4046740992859964E-3</v>
      </c>
      <c r="E33" s="5">
        <f t="shared" si="24"/>
        <v>0</v>
      </c>
      <c r="F33" s="9">
        <f t="shared" si="24"/>
        <v>25112.923736221062</v>
      </c>
      <c r="G33" s="9">
        <f t="shared" si="24"/>
        <v>72491.584783702856</v>
      </c>
      <c r="H33" s="9">
        <f t="shared" si="24"/>
        <v>87597.719808557536</v>
      </c>
      <c r="I33" s="9">
        <f t="shared" si="24"/>
        <v>103901.55123303553</v>
      </c>
      <c r="J33" s="9">
        <f t="shared" si="24"/>
        <v>137772.4777935645</v>
      </c>
      <c r="K33" s="9">
        <f t="shared" si="24"/>
        <v>114466.79706482423</v>
      </c>
      <c r="L33" s="9">
        <f t="shared" si="24"/>
        <v>92933.16588473774</v>
      </c>
      <c r="M33" s="6">
        <f t="shared" si="24"/>
        <v>69951.649725655167</v>
      </c>
    </row>
    <row r="34" spans="2:13" x14ac:dyDescent="0.25">
      <c r="B34" s="8" t="s">
        <v>18</v>
      </c>
      <c r="C34" s="1" t="str">
        <f>VLOOKUP(B34,'State Interconnection Mapping'!$A$3:$B$52,2,0)</f>
        <v>Eastern</v>
      </c>
      <c r="D34" s="57">
        <f>VLOOKUP(B34,'State Share Interconnect Gen '!$C$4:$F$53,4,0)</f>
        <v>1.0066465808438955E-2</v>
      </c>
      <c r="E34" s="5">
        <f t="shared" si="24"/>
        <v>0</v>
      </c>
      <c r="F34" s="9">
        <f t="shared" si="24"/>
        <v>105127.92075053584</v>
      </c>
      <c r="G34" s="9">
        <f t="shared" si="24"/>
        <v>303464.84783171798</v>
      </c>
      <c r="H34" s="9">
        <f t="shared" si="24"/>
        <v>366702.27022110269</v>
      </c>
      <c r="I34" s="9">
        <f t="shared" si="24"/>
        <v>434953.49878874602</v>
      </c>
      <c r="J34" s="9">
        <f t="shared" si="24"/>
        <v>576744.24050420371</v>
      </c>
      <c r="K34" s="9">
        <f t="shared" si="24"/>
        <v>479181.8147817665</v>
      </c>
      <c r="L34" s="9">
        <f t="shared" si="24"/>
        <v>389037.5569506372</v>
      </c>
      <c r="M34" s="6">
        <f t="shared" si="24"/>
        <v>292832.15152368846</v>
      </c>
    </row>
    <row r="35" spans="2:13" x14ac:dyDescent="0.25">
      <c r="B35" s="8" t="s">
        <v>19</v>
      </c>
      <c r="C35" s="1" t="str">
        <f>VLOOKUP(B35,'State Interconnection Mapping'!$A$3:$B$52,2,0)</f>
        <v>Eastern</v>
      </c>
      <c r="D35" s="57">
        <f>VLOOKUP(B35,'State Share Interconnect Gen '!$C$4:$F$53,4,0)</f>
        <v>1.325825677229691E-2</v>
      </c>
      <c r="E35" s="5">
        <f t="shared" si="24"/>
        <v>0</v>
      </c>
      <c r="F35" s="9">
        <f t="shared" si="24"/>
        <v>138461.00446492535</v>
      </c>
      <c r="G35" s="9">
        <f t="shared" si="24"/>
        <v>399684.94906583824</v>
      </c>
      <c r="H35" s="9">
        <f t="shared" si="24"/>
        <v>482973.16556718422</v>
      </c>
      <c r="I35" s="9">
        <f t="shared" si="24"/>
        <v>572864.92406458547</v>
      </c>
      <c r="J35" s="9">
        <f t="shared" si="24"/>
        <v>759613.4907782384</v>
      </c>
      <c r="K35" s="9">
        <f t="shared" si="24"/>
        <v>631116.7853633312</v>
      </c>
      <c r="L35" s="9">
        <f t="shared" si="24"/>
        <v>512390.33860270912</v>
      </c>
      <c r="M35" s="6">
        <f t="shared" si="24"/>
        <v>385680.926152898</v>
      </c>
    </row>
    <row r="36" spans="2:13" x14ac:dyDescent="0.25">
      <c r="B36" s="8" t="s">
        <v>20</v>
      </c>
      <c r="C36" s="1" t="str">
        <f>VLOOKUP(B36,'State Interconnection Mapping'!$A$3:$B$52,2,0)</f>
        <v>Eastern</v>
      </c>
      <c r="D36" s="57">
        <f>VLOOKUP(B36,'State Share Interconnect Gen '!$C$4:$F$53,4,0)</f>
        <v>3.6728404933454632E-2</v>
      </c>
      <c r="E36" s="5">
        <f t="shared" si="24"/>
        <v>0</v>
      </c>
      <c r="F36" s="9">
        <f t="shared" si="24"/>
        <v>383568.66417813586</v>
      </c>
      <c r="G36" s="9">
        <f t="shared" si="24"/>
        <v>1107218.7624070367</v>
      </c>
      <c r="H36" s="9">
        <f t="shared" si="24"/>
        <v>1337946.1796221365</v>
      </c>
      <c r="I36" s="9">
        <f t="shared" si="24"/>
        <v>1586966.9191488824</v>
      </c>
      <c r="J36" s="9">
        <f t="shared" si="24"/>
        <v>2104303.1796241757</v>
      </c>
      <c r="K36" s="9">
        <f t="shared" si="24"/>
        <v>1748337.903785282</v>
      </c>
      <c r="L36" s="9">
        <f t="shared" si="24"/>
        <v>1419438.4799903003</v>
      </c>
      <c r="M36" s="6">
        <f t="shared" si="24"/>
        <v>1068424.4146222984</v>
      </c>
    </row>
    <row r="37" spans="2:13" x14ac:dyDescent="0.25">
      <c r="B37" s="8" t="s">
        <v>21</v>
      </c>
      <c r="C37" s="1" t="str">
        <f>VLOOKUP(B37,'State Interconnection Mapping'!$A$3:$B$52,2,0)</f>
        <v>Eastern</v>
      </c>
      <c r="D37" s="57">
        <f>VLOOKUP(B37,'State Share Interconnect Gen '!$C$4:$F$53,4,0)</f>
        <v>1.6874734870745769E-2</v>
      </c>
      <c r="E37" s="5">
        <f t="shared" si="24"/>
        <v>0</v>
      </c>
      <c r="F37" s="9">
        <f t="shared" si="24"/>
        <v>176229.25701400329</v>
      </c>
      <c r="G37" s="9">
        <f t="shared" si="24"/>
        <v>508707.71800153423</v>
      </c>
      <c r="H37" s="9">
        <f t="shared" si="24"/>
        <v>614714.60830812447</v>
      </c>
      <c r="I37" s="9">
        <f t="shared" si="24"/>
        <v>729126.30041521287</v>
      </c>
      <c r="J37" s="9">
        <f t="shared" si="24"/>
        <v>966814.60325223231</v>
      </c>
      <c r="K37" s="9">
        <f t="shared" si="24"/>
        <v>803267.62472548976</v>
      </c>
      <c r="L37" s="9">
        <f t="shared" si="24"/>
        <v>652155.95554908121</v>
      </c>
      <c r="M37" s="6">
        <f t="shared" si="24"/>
        <v>490883.79304380569</v>
      </c>
    </row>
    <row r="38" spans="2:13" x14ac:dyDescent="0.25">
      <c r="B38" s="8" t="s">
        <v>22</v>
      </c>
      <c r="C38" s="1" t="str">
        <f>VLOOKUP(B38,'State Interconnection Mapping'!$A$3:$B$52,2,0)</f>
        <v>Eastern</v>
      </c>
      <c r="D38" s="57">
        <f>VLOOKUP(B38,'State Share Interconnect Gen '!$C$4:$F$53,4,0)</f>
        <v>2.4171852825610317E-2</v>
      </c>
      <c r="E38" s="5">
        <f t="shared" si="24"/>
        <v>0</v>
      </c>
      <c r="F38" s="9">
        <f t="shared" si="24"/>
        <v>252435.82768781498</v>
      </c>
      <c r="G38" s="9">
        <f t="shared" si="24"/>
        <v>728687.48368321639</v>
      </c>
      <c r="H38" s="9">
        <f t="shared" si="24"/>
        <v>880534.78502563294</v>
      </c>
      <c r="I38" s="9">
        <f t="shared" si="24"/>
        <v>1044421.3648341227</v>
      </c>
      <c r="J38" s="9">
        <f t="shared" si="24"/>
        <v>1384892.8874122796</v>
      </c>
      <c r="K38" s="9">
        <f t="shared" si="24"/>
        <v>1150623.5181272521</v>
      </c>
      <c r="L38" s="9">
        <f t="shared" si="24"/>
        <v>934166.84159026318</v>
      </c>
      <c r="M38" s="6">
        <f t="shared" si="24"/>
        <v>703155.98383133789</v>
      </c>
    </row>
    <row r="39" spans="2:13" x14ac:dyDescent="0.25">
      <c r="B39" s="8" t="s">
        <v>23</v>
      </c>
      <c r="C39" s="1" t="str">
        <f>VLOOKUP(B39,'State Interconnection Mapping'!$A$3:$B$52,2,0)</f>
        <v>Eastern</v>
      </c>
      <c r="D39" s="57">
        <f>VLOOKUP(B39,'State Share Interconnect Gen '!$C$4:$F$53,4,0)</f>
        <v>3.9377701223492753E-2</v>
      </c>
      <c r="E39" s="5">
        <f t="shared" si="24"/>
        <v>0</v>
      </c>
      <c r="F39" s="9">
        <f t="shared" si="24"/>
        <v>411236.27024006977</v>
      </c>
      <c r="G39" s="9">
        <f t="shared" si="24"/>
        <v>1187084.7561745383</v>
      </c>
      <c r="H39" s="9">
        <f t="shared" si="24"/>
        <v>1434455.022202309</v>
      </c>
      <c r="I39" s="9">
        <f t="shared" si="24"/>
        <v>1701438.1459536371</v>
      </c>
      <c r="J39" s="9">
        <f t="shared" si="24"/>
        <v>2256090.9476199411</v>
      </c>
      <c r="K39" s="9">
        <f t="shared" si="24"/>
        <v>1874449.1555704738</v>
      </c>
      <c r="L39" s="9">
        <f t="shared" si="24"/>
        <v>1521825.5318045306</v>
      </c>
      <c r="M39" s="6">
        <f t="shared" si="24"/>
        <v>1145492.0913420881</v>
      </c>
    </row>
    <row r="40" spans="2:13" x14ac:dyDescent="0.25">
      <c r="B40" s="8" t="s">
        <v>24</v>
      </c>
      <c r="C40" s="1" t="str">
        <f>VLOOKUP(B40,'State Interconnection Mapping'!$A$3:$B$52,2,0)</f>
        <v>Western</v>
      </c>
      <c r="D40" s="57">
        <f>VLOOKUP(B40,'State Share Interconnect Gen '!$C$4:$F$53,4,0)</f>
        <v>3.6959633094399723E-2</v>
      </c>
      <c r="E40" s="5">
        <f t="shared" si="24"/>
        <v>109999.59576051307</v>
      </c>
      <c r="F40" s="9">
        <f t="shared" si="24"/>
        <v>401957.4066034627</v>
      </c>
      <c r="G40" s="9">
        <f t="shared" si="24"/>
        <v>659911.8780000041</v>
      </c>
      <c r="H40" s="9">
        <f t="shared" si="24"/>
        <v>813648.66115750023</v>
      </c>
      <c r="I40" s="9">
        <f t="shared" si="24"/>
        <v>950619.04268254945</v>
      </c>
      <c r="J40" s="9">
        <f t="shared" si="24"/>
        <v>1162813.3541878525</v>
      </c>
      <c r="K40" s="9">
        <f t="shared" si="24"/>
        <v>1200465.6061429202</v>
      </c>
      <c r="L40" s="9">
        <f t="shared" si="24"/>
        <v>1250847.4261696348</v>
      </c>
      <c r="M40" s="6">
        <f t="shared" si="24"/>
        <v>1269515.1077032851</v>
      </c>
    </row>
    <row r="41" spans="2:13" x14ac:dyDescent="0.25">
      <c r="B41" s="8" t="s">
        <v>25</v>
      </c>
      <c r="C41" s="1" t="str">
        <f>VLOOKUP(B41,'State Interconnection Mapping'!$A$3:$B$52,2,0)</f>
        <v>Eastern</v>
      </c>
      <c r="D41" s="57">
        <f>VLOOKUP(B41,'State Share Interconnect Gen '!$C$4:$F$53,4,0)</f>
        <v>1.2729554874293624E-2</v>
      </c>
      <c r="E41" s="5">
        <f t="shared" si="24"/>
        <v>0</v>
      </c>
      <c r="F41" s="9">
        <f t="shared" si="24"/>
        <v>132939.57000206233</v>
      </c>
      <c r="G41" s="9">
        <f t="shared" si="24"/>
        <v>383746.6402214964</v>
      </c>
      <c r="H41" s="9">
        <f t="shared" si="24"/>
        <v>463713.5574825395</v>
      </c>
      <c r="I41" s="9">
        <f t="shared" si="24"/>
        <v>550020.68610373139</v>
      </c>
      <c r="J41" s="9">
        <f t="shared" si="24"/>
        <v>729322.24652035697</v>
      </c>
      <c r="K41" s="9">
        <f t="shared" si="24"/>
        <v>605949.62741685566</v>
      </c>
      <c r="L41" s="9">
        <f t="shared" si="24"/>
        <v>491957.65660006099</v>
      </c>
      <c r="M41" s="6">
        <f t="shared" si="24"/>
        <v>370301.05825753696</v>
      </c>
    </row>
    <row r="42" spans="2:13" x14ac:dyDescent="0.25">
      <c r="B42" s="8" t="s">
        <v>26</v>
      </c>
      <c r="C42" s="1" t="str">
        <f>VLOOKUP(B42,'State Interconnection Mapping'!$A$3:$B$52,2,0)</f>
        <v>Western</v>
      </c>
      <c r="D42" s="57">
        <f>VLOOKUP(B42,'State Share Interconnect Gen '!$C$4:$F$53,4,0)</f>
        <v>6.7526934242890496E-2</v>
      </c>
      <c r="E42" s="5">
        <f t="shared" si="24"/>
        <v>200974.27511503661</v>
      </c>
      <c r="F42" s="9">
        <f t="shared" si="24"/>
        <v>734394.50264098088</v>
      </c>
      <c r="G42" s="9">
        <f t="shared" si="24"/>
        <v>1205689.079163528</v>
      </c>
      <c r="H42" s="9">
        <f t="shared" si="24"/>
        <v>1486573.1891457448</v>
      </c>
      <c r="I42" s="9">
        <f t="shared" si="24"/>
        <v>1736824.3191513373</v>
      </c>
      <c r="J42" s="9">
        <f t="shared" si="24"/>
        <v>2124512.9978548386</v>
      </c>
      <c r="K42" s="9">
        <f t="shared" si="24"/>
        <v>2193305.3783249753</v>
      </c>
      <c r="L42" s="9">
        <f t="shared" si="24"/>
        <v>2285355.2598617217</v>
      </c>
      <c r="M42" s="6">
        <f t="shared" si="24"/>
        <v>2319461.9648760911</v>
      </c>
    </row>
    <row r="43" spans="2:13" x14ac:dyDescent="0.25">
      <c r="B43" s="8" t="s">
        <v>27</v>
      </c>
      <c r="C43" s="1" t="str">
        <f>VLOOKUP(B43,'State Interconnection Mapping'!$A$3:$B$52,2,0)</f>
        <v>Eastern</v>
      </c>
      <c r="D43" s="57">
        <f>VLOOKUP(B43,'State Share Interconnect Gen '!$C$4:$F$53,4,0)</f>
        <v>4.2060217997268064E-3</v>
      </c>
      <c r="E43" s="5">
        <f t="shared" si="24"/>
        <v>0</v>
      </c>
      <c r="F43" s="9">
        <f t="shared" si="24"/>
        <v>43925.081041453901</v>
      </c>
      <c r="G43" s="9">
        <f t="shared" si="24"/>
        <v>126795.22185044971</v>
      </c>
      <c r="H43" s="9">
        <f t="shared" si="24"/>
        <v>153217.40240415593</v>
      </c>
      <c r="I43" s="9">
        <f t="shared" si="24"/>
        <v>181734.47688455501</v>
      </c>
      <c r="J43" s="9">
        <f t="shared" si="24"/>
        <v>240978.20373004759</v>
      </c>
      <c r="K43" s="9">
        <f t="shared" si="24"/>
        <v>200214.1761923201</v>
      </c>
      <c r="L43" s="9">
        <f t="shared" si="24"/>
        <v>162549.64518680327</v>
      </c>
      <c r="M43" s="6">
        <f t="shared" si="24"/>
        <v>122352.61475154555</v>
      </c>
    </row>
    <row r="44" spans="2:13" x14ac:dyDescent="0.25">
      <c r="B44" s="8" t="s">
        <v>28</v>
      </c>
      <c r="C44" s="1" t="str">
        <f>VLOOKUP(B44,'State Interconnection Mapping'!$A$3:$B$52,2,0)</f>
        <v>Eastern</v>
      </c>
      <c r="D44" s="57">
        <f>VLOOKUP(B44,'State Share Interconnect Gen '!$C$4:$F$53,4,0)</f>
        <v>1.8464305876279247E-2</v>
      </c>
      <c r="E44" s="5">
        <f t="shared" si="24"/>
        <v>0</v>
      </c>
      <c r="F44" s="9">
        <f t="shared" si="24"/>
        <v>192829.74996526152</v>
      </c>
      <c r="G44" s="9">
        <f t="shared" si="24"/>
        <v>556627.11021836742</v>
      </c>
      <c r="H44" s="9">
        <f t="shared" si="24"/>
        <v>672619.66729298781</v>
      </c>
      <c r="I44" s="9">
        <f t="shared" si="24"/>
        <v>797808.74404407048</v>
      </c>
      <c r="J44" s="9">
        <f t="shared" si="24"/>
        <v>1057886.8762584501</v>
      </c>
      <c r="K44" s="9">
        <f t="shared" si="24"/>
        <v>878934.05360437825</v>
      </c>
      <c r="L44" s="9">
        <f t="shared" si="24"/>
        <v>713587.92505658104</v>
      </c>
      <c r="M44" s="6">
        <f t="shared" si="24"/>
        <v>537124.2021812232</v>
      </c>
    </row>
    <row r="45" spans="2:13" x14ac:dyDescent="0.25">
      <c r="B45" s="8" t="s">
        <v>29</v>
      </c>
      <c r="C45" s="1" t="str">
        <f>VLOOKUP(B45,'State Interconnection Mapping'!$A$3:$B$52,2,0)</f>
        <v>Western</v>
      </c>
      <c r="D45" s="57">
        <f>VLOOKUP(B45,'State Share Interconnect Gen '!$C$4:$F$53,4,0)</f>
        <v>4.6203639486911141E-2</v>
      </c>
      <c r="E45" s="5">
        <f t="shared" si="24"/>
        <v>137511.6915593734</v>
      </c>
      <c r="F45" s="9">
        <f t="shared" si="24"/>
        <v>502491.32766997721</v>
      </c>
      <c r="G45" s="9">
        <f t="shared" si="24"/>
        <v>824963.01915028214</v>
      </c>
      <c r="H45" s="9">
        <f t="shared" si="24"/>
        <v>1017151.0445763973</v>
      </c>
      <c r="I45" s="9">
        <f t="shared" si="24"/>
        <v>1188379.2088875568</v>
      </c>
      <c r="J45" s="9">
        <f t="shared" si="24"/>
        <v>1453645.6265742062</v>
      </c>
      <c r="K45" s="9">
        <f t="shared" si="24"/>
        <v>1500715.1164351837</v>
      </c>
      <c r="L45" s="9">
        <f t="shared" si="24"/>
        <v>1563697.9778522113</v>
      </c>
      <c r="M45" s="6">
        <f t="shared" si="24"/>
        <v>1587034.6496593764</v>
      </c>
    </row>
    <row r="46" spans="2:13" x14ac:dyDescent="0.25">
      <c r="B46" s="8" t="s">
        <v>30</v>
      </c>
      <c r="C46" s="1" t="str">
        <f>VLOOKUP(B46,'State Interconnection Mapping'!$A$3:$B$52,2,0)</f>
        <v>Eastern</v>
      </c>
      <c r="D46" s="57">
        <f>VLOOKUP(B46,'State Share Interconnect Gen '!$C$4:$F$53,4,0)</f>
        <v>3.0755244188428132E-2</v>
      </c>
      <c r="E46" s="5">
        <f t="shared" si="24"/>
        <v>0</v>
      </c>
      <c r="F46" s="9">
        <f t="shared" si="24"/>
        <v>321188.68083711702</v>
      </c>
      <c r="G46" s="9">
        <f t="shared" si="24"/>
        <v>927151.16459686228</v>
      </c>
      <c r="H46" s="9">
        <f t="shared" si="24"/>
        <v>1120355.2547356137</v>
      </c>
      <c r="I46" s="9">
        <f t="shared" si="24"/>
        <v>1328877.6140921996</v>
      </c>
      <c r="J46" s="9">
        <f t="shared" si="24"/>
        <v>1762079.1932861083</v>
      </c>
      <c r="K46" s="9">
        <f t="shared" si="24"/>
        <v>1464004.7465231244</v>
      </c>
      <c r="L46" s="9">
        <f t="shared" si="24"/>
        <v>1188594.4173630299</v>
      </c>
      <c r="M46" s="6">
        <f t="shared" si="24"/>
        <v>894665.96298214013</v>
      </c>
    </row>
    <row r="47" spans="2:13" x14ac:dyDescent="0.25">
      <c r="B47" s="8" t="s">
        <v>31</v>
      </c>
      <c r="C47" s="1" t="str">
        <f>VLOOKUP(B47,'State Interconnection Mapping'!$A$3:$B$52,2,0)</f>
        <v>Eastern</v>
      </c>
      <c r="D47" s="57">
        <f>VLOOKUP(B47,'State Share Interconnect Gen '!$C$4:$F$53,4,0)</f>
        <v>4.0759021305004355E-2</v>
      </c>
      <c r="E47" s="5">
        <f t="shared" si="24"/>
        <v>0</v>
      </c>
      <c r="F47" s="9">
        <f t="shared" si="24"/>
        <v>425661.91980007105</v>
      </c>
      <c r="G47" s="9">
        <f t="shared" si="24"/>
        <v>1228726.1918402119</v>
      </c>
      <c r="H47" s="9">
        <f t="shared" si="24"/>
        <v>1484773.8947273281</v>
      </c>
      <c r="I47" s="9">
        <f t="shared" si="24"/>
        <v>1761122.4496441095</v>
      </c>
      <c r="J47" s="9">
        <f t="shared" si="24"/>
        <v>2335231.7718640119</v>
      </c>
      <c r="K47" s="9">
        <f t="shared" si="24"/>
        <v>1940202.4672142025</v>
      </c>
      <c r="L47" s="9">
        <f t="shared" si="24"/>
        <v>1575209.2515830875</v>
      </c>
      <c r="M47" s="6">
        <f t="shared" si="24"/>
        <v>1185674.5087971617</v>
      </c>
    </row>
    <row r="48" spans="2:13" x14ac:dyDescent="0.25">
      <c r="B48" s="8" t="s">
        <v>32</v>
      </c>
      <c r="C48" s="1" t="str">
        <f>VLOOKUP(B48,'State Interconnection Mapping'!$A$3:$B$52,2,0)</f>
        <v>Eastern</v>
      </c>
      <c r="D48" s="57">
        <f>VLOOKUP(B48,'State Share Interconnect Gen '!$C$4:$F$53,4,0)</f>
        <v>1.4447748419292378E-2</v>
      </c>
      <c r="E48" s="5">
        <f t="shared" si="24"/>
        <v>0</v>
      </c>
      <c r="F48" s="9">
        <f t="shared" si="24"/>
        <v>150883.31692079568</v>
      </c>
      <c r="G48" s="9">
        <f t="shared" si="24"/>
        <v>435543.50245703646</v>
      </c>
      <c r="H48" s="9">
        <f t="shared" si="24"/>
        <v>526304.09179917013</v>
      </c>
      <c r="I48" s="9">
        <f t="shared" si="24"/>
        <v>624260.67342549225</v>
      </c>
      <c r="J48" s="9">
        <f t="shared" si="24"/>
        <v>827763.7700905049</v>
      </c>
      <c r="K48" s="9">
        <f t="shared" si="24"/>
        <v>687738.71970668447</v>
      </c>
      <c r="L48" s="9">
        <f t="shared" si="24"/>
        <v>558360.48673278745</v>
      </c>
      <c r="M48" s="6">
        <f t="shared" si="24"/>
        <v>420283.0799611524</v>
      </c>
    </row>
    <row r="49" spans="2:13" x14ac:dyDescent="0.25">
      <c r="B49" s="8" t="s">
        <v>33</v>
      </c>
      <c r="C49" s="1" t="str">
        <f>VLOOKUP(B49,'State Interconnection Mapping'!$A$3:$B$52,2,0)</f>
        <v>Eastern</v>
      </c>
      <c r="D49" s="57">
        <f>VLOOKUP(B49,'State Share Interconnect Gen '!$C$4:$F$53,4,0)</f>
        <v>5.5947768575792312E-2</v>
      </c>
      <c r="E49" s="5">
        <f t="shared" si="24"/>
        <v>0</v>
      </c>
      <c r="F49" s="9">
        <f t="shared" si="24"/>
        <v>584283.76879544649</v>
      </c>
      <c r="G49" s="9">
        <f t="shared" si="24"/>
        <v>1686607.9317672523</v>
      </c>
      <c r="H49" s="9">
        <f t="shared" si="24"/>
        <v>2038071.1702560715</v>
      </c>
      <c r="I49" s="9">
        <f t="shared" si="24"/>
        <v>2417400.3224710296</v>
      </c>
      <c r="J49" s="9">
        <f t="shared" si="24"/>
        <v>3205450.0466389745</v>
      </c>
      <c r="K49" s="9">
        <f t="shared" si="24"/>
        <v>2663214.0603570826</v>
      </c>
      <c r="L49" s="9">
        <f t="shared" si="24"/>
        <v>2162207.0364873344</v>
      </c>
      <c r="M49" s="6">
        <f t="shared" si="24"/>
        <v>1627513.1467951899</v>
      </c>
    </row>
    <row r="50" spans="2:13" x14ac:dyDescent="0.25">
      <c r="B50" s="8" t="s">
        <v>34</v>
      </c>
      <c r="C50" s="1" t="str">
        <f>VLOOKUP(B50,'State Interconnection Mapping'!$A$3:$B$52,2,0)</f>
        <v>Eastern</v>
      </c>
      <c r="D50" s="57">
        <f>VLOOKUP(B50,'State Share Interconnect Gen '!$C$4:$F$53,4,0)</f>
        <v>3.4219580118264009E-2</v>
      </c>
      <c r="E50" s="5">
        <f t="shared" ref="E50:M66" si="25">$D50*VLOOKUP($C50,$D$12:$M$14,E$16-2020,0)</f>
        <v>0</v>
      </c>
      <c r="F50" s="9">
        <f t="shared" si="25"/>
        <v>357368.05501029547</v>
      </c>
      <c r="G50" s="9">
        <f t="shared" si="25"/>
        <v>1031587.4380409408</v>
      </c>
      <c r="H50" s="9">
        <f t="shared" si="25"/>
        <v>1246554.4466321741</v>
      </c>
      <c r="I50" s="9">
        <f t="shared" si="25"/>
        <v>1478565.2067722911</v>
      </c>
      <c r="J50" s="9">
        <f t="shared" si="25"/>
        <v>1960563.5305626148</v>
      </c>
      <c r="K50" s="9">
        <f t="shared" si="25"/>
        <v>1628913.3459722754</v>
      </c>
      <c r="L50" s="9">
        <f t="shared" si="25"/>
        <v>1322480.2132567395</v>
      </c>
      <c r="M50" s="6">
        <f t="shared" si="25"/>
        <v>995443.03442306281</v>
      </c>
    </row>
    <row r="51" spans="2:13" x14ac:dyDescent="0.25">
      <c r="B51" s="8" t="s">
        <v>35</v>
      </c>
      <c r="C51" s="1" t="str">
        <f>VLOOKUP(B51,'State Interconnection Mapping'!$A$3:$B$52,2,0)</f>
        <v>Western</v>
      </c>
      <c r="D51" s="57">
        <f>VLOOKUP(B51,'State Share Interconnect Gen '!$C$4:$F$53,4,0)</f>
        <v>3.9763455840627571E-2</v>
      </c>
      <c r="E51" s="5">
        <f t="shared" si="25"/>
        <v>118344.35848803938</v>
      </c>
      <c r="F51" s="9">
        <f t="shared" si="25"/>
        <v>432450.60216011218</v>
      </c>
      <c r="G51" s="9">
        <f t="shared" si="25"/>
        <v>709973.95327322185</v>
      </c>
      <c r="H51" s="9">
        <f t="shared" si="25"/>
        <v>875373.47908965964</v>
      </c>
      <c r="I51" s="9">
        <f t="shared" si="25"/>
        <v>1022734.6745683687</v>
      </c>
      <c r="J51" s="9">
        <f t="shared" si="25"/>
        <v>1251026.4196087702</v>
      </c>
      <c r="K51" s="9">
        <f t="shared" si="25"/>
        <v>1291535.0375945473</v>
      </c>
      <c r="L51" s="9">
        <f t="shared" si="25"/>
        <v>1345738.911066069</v>
      </c>
      <c r="M51" s="6">
        <f t="shared" si="25"/>
        <v>1365822.7557409958</v>
      </c>
    </row>
    <row r="52" spans="2:13" x14ac:dyDescent="0.25">
      <c r="B52" s="8" t="s">
        <v>36</v>
      </c>
      <c r="C52" s="1" t="str">
        <f>VLOOKUP(B52,'State Interconnection Mapping'!$A$3:$B$52,2,0)</f>
        <v>Eastern</v>
      </c>
      <c r="D52" s="57">
        <f>VLOOKUP(B52,'State Share Interconnect Gen '!$C$4:$F$53,4,0)</f>
        <v>7.4047709723559174E-2</v>
      </c>
      <c r="E52" s="5">
        <f t="shared" si="25"/>
        <v>0</v>
      </c>
      <c r="F52" s="9">
        <f t="shared" si="25"/>
        <v>773308.31969360064</v>
      </c>
      <c r="G52" s="9">
        <f t="shared" si="25"/>
        <v>2232250.860546235</v>
      </c>
      <c r="H52" s="9">
        <f t="shared" si="25"/>
        <v>2697417.7210773402</v>
      </c>
      <c r="I52" s="9">
        <f t="shared" si="25"/>
        <v>3199465.5358145027</v>
      </c>
      <c r="J52" s="9">
        <f t="shared" si="25"/>
        <v>4242461.1495514084</v>
      </c>
      <c r="K52" s="9">
        <f t="shared" si="25"/>
        <v>3524803.6998270918</v>
      </c>
      <c r="L52" s="9">
        <f t="shared" si="25"/>
        <v>2861713.3994031483</v>
      </c>
      <c r="M52" s="6">
        <f t="shared" si="25"/>
        <v>2154038.0274846358</v>
      </c>
    </row>
    <row r="53" spans="2:13" x14ac:dyDescent="0.25">
      <c r="B53" s="8" t="s">
        <v>37</v>
      </c>
      <c r="C53" s="1" t="str">
        <f>VLOOKUP(B53,'State Interconnection Mapping'!$A$3:$B$52,2,0)</f>
        <v>Eastern</v>
      </c>
      <c r="D53" s="57">
        <f>VLOOKUP(B53,'State Share Interconnect Gen '!$C$4:$F$53,4,0)</f>
        <v>4.1245411505024454E-3</v>
      </c>
      <c r="E53" s="5">
        <f t="shared" si="25"/>
        <v>0</v>
      </c>
      <c r="F53" s="9">
        <f t="shared" si="25"/>
        <v>43074.147715163766</v>
      </c>
      <c r="G53" s="9">
        <f t="shared" si="25"/>
        <v>124338.89673211756</v>
      </c>
      <c r="H53" s="9">
        <f t="shared" si="25"/>
        <v>150249.21678486795</v>
      </c>
      <c r="I53" s="9">
        <f t="shared" si="25"/>
        <v>178213.84768478127</v>
      </c>
      <c r="J53" s="9">
        <f t="shared" si="25"/>
        <v>236309.88258864981</v>
      </c>
      <c r="K53" s="9">
        <f t="shared" si="25"/>
        <v>196335.55125006934</v>
      </c>
      <c r="L53" s="9">
        <f t="shared" si="25"/>
        <v>159400.67182155099</v>
      </c>
      <c r="M53" s="6">
        <f t="shared" si="25"/>
        <v>119982.35350256639</v>
      </c>
    </row>
    <row r="54" spans="2:13" x14ac:dyDescent="0.25">
      <c r="B54" s="8" t="s">
        <v>38</v>
      </c>
      <c r="C54" s="1" t="str">
        <f>VLOOKUP(B54,'State Interconnection Mapping'!$A$3:$B$52,2,0)</f>
        <v>Eastern</v>
      </c>
      <c r="D54" s="57">
        <f>VLOOKUP(B54,'State Share Interconnect Gen '!$C$4:$F$53,4,0)</f>
        <v>2.0311138240992149E-2</v>
      </c>
      <c r="E54" s="5">
        <f t="shared" si="25"/>
        <v>0</v>
      </c>
      <c r="F54" s="9">
        <f t="shared" si="25"/>
        <v>212116.92087228424</v>
      </c>
      <c r="G54" s="9">
        <f t="shared" si="25"/>
        <v>612301.93325888831</v>
      </c>
      <c r="H54" s="9">
        <f t="shared" si="25"/>
        <v>739896.26999999594</v>
      </c>
      <c r="I54" s="9">
        <f t="shared" si="25"/>
        <v>877606.97849838668</v>
      </c>
      <c r="J54" s="9">
        <f t="shared" si="25"/>
        <v>1163698.5831468781</v>
      </c>
      <c r="K54" s="9">
        <f t="shared" si="25"/>
        <v>966846.58427417302</v>
      </c>
      <c r="L54" s="9">
        <f t="shared" si="25"/>
        <v>784962.24499545677</v>
      </c>
      <c r="M54" s="6">
        <f t="shared" si="25"/>
        <v>590848.31004131096</v>
      </c>
    </row>
    <row r="55" spans="2:13" x14ac:dyDescent="0.25">
      <c r="B55" s="8" t="s">
        <v>39</v>
      </c>
      <c r="C55" s="1" t="str">
        <f>VLOOKUP(B55,'State Interconnection Mapping'!$A$3:$B$52,2,0)</f>
        <v>Eastern</v>
      </c>
      <c r="D55" s="57">
        <f>VLOOKUP(B55,'State Share Interconnect Gen '!$C$4:$F$53,4,0)</f>
        <v>2.7392282195958921E-3</v>
      </c>
      <c r="E55" s="5">
        <f t="shared" si="25"/>
        <v>0</v>
      </c>
      <c r="F55" s="9">
        <f t="shared" si="25"/>
        <v>28606.799314402564</v>
      </c>
      <c r="G55" s="9">
        <f t="shared" si="25"/>
        <v>82577.092164675196</v>
      </c>
      <c r="H55" s="9">
        <f t="shared" si="25"/>
        <v>99784.892324120621</v>
      </c>
      <c r="I55" s="9">
        <f t="shared" si="25"/>
        <v>118357.02030550693</v>
      </c>
      <c r="J55" s="9">
        <f t="shared" si="25"/>
        <v>156940.29355904658</v>
      </c>
      <c r="K55" s="9">
        <f t="shared" si="25"/>
        <v>130392.17281868808</v>
      </c>
      <c r="L55" s="9">
        <f t="shared" si="25"/>
        <v>105862.64084744213</v>
      </c>
      <c r="M55" s="6">
        <f t="shared" si="25"/>
        <v>79683.784589644143</v>
      </c>
    </row>
    <row r="56" spans="2:13" x14ac:dyDescent="0.25">
      <c r="B56" s="8" t="s">
        <v>40</v>
      </c>
      <c r="C56" s="1" t="str">
        <f>VLOOKUP(B56,'State Interconnection Mapping'!$A$3:$B$52,2,0)</f>
        <v>Eastern</v>
      </c>
      <c r="D56" s="57">
        <f>VLOOKUP(B56,'State Share Interconnect Gen '!$C$4:$F$53,4,0)</f>
        <v>2.1132877550291019E-2</v>
      </c>
      <c r="E56" s="5">
        <f t="shared" si="25"/>
        <v>0</v>
      </c>
      <c r="F56" s="9">
        <f t="shared" si="25"/>
        <v>220698.65617338175</v>
      </c>
      <c r="G56" s="9">
        <f t="shared" si="25"/>
        <v>637074.18195064575</v>
      </c>
      <c r="H56" s="9">
        <f t="shared" si="25"/>
        <v>769830.67557828745</v>
      </c>
      <c r="I56" s="9">
        <f t="shared" si="25"/>
        <v>913112.82478777249</v>
      </c>
      <c r="J56" s="9">
        <f t="shared" si="25"/>
        <v>1210779.0007286589</v>
      </c>
      <c r="K56" s="9">
        <f t="shared" si="25"/>
        <v>1005962.8482143185</v>
      </c>
      <c r="L56" s="9">
        <f t="shared" si="25"/>
        <v>816719.91043866868</v>
      </c>
      <c r="M56" s="6">
        <f t="shared" si="25"/>
        <v>614752.59725717281</v>
      </c>
    </row>
    <row r="57" spans="2:13" x14ac:dyDescent="0.25">
      <c r="B57" s="8" t="s">
        <v>41</v>
      </c>
      <c r="C57" s="1" t="str">
        <f>VLOOKUP(B57,'State Interconnection Mapping'!$A$3:$B$52,2,0)</f>
        <v>Texas</v>
      </c>
      <c r="D57" s="57">
        <f>VLOOKUP(B57,'State Share Interconnect Gen '!$C$4:$F$53,4,0)</f>
        <v>1</v>
      </c>
      <c r="E57" s="5">
        <f t="shared" si="25"/>
        <v>0</v>
      </c>
      <c r="F57" s="9">
        <f t="shared" si="25"/>
        <v>3863855.3323310623</v>
      </c>
      <c r="G57" s="9">
        <f t="shared" si="25"/>
        <v>8132746.3047908824</v>
      </c>
      <c r="H57" s="9">
        <f t="shared" si="25"/>
        <v>10106932.381309925</v>
      </c>
      <c r="I57" s="9">
        <f t="shared" si="25"/>
        <v>12713722.016161392</v>
      </c>
      <c r="J57" s="9">
        <f t="shared" si="25"/>
        <v>15945034.291366508</v>
      </c>
      <c r="K57" s="9">
        <f t="shared" si="25"/>
        <v>15814162.27287172</v>
      </c>
      <c r="L57" s="9">
        <f t="shared" si="25"/>
        <v>16200366.956646511</v>
      </c>
      <c r="M57" s="6">
        <f t="shared" si="25"/>
        <v>16536713.484635198</v>
      </c>
    </row>
    <row r="58" spans="2:13" x14ac:dyDescent="0.25">
      <c r="B58" s="8" t="s">
        <v>42</v>
      </c>
      <c r="C58" s="1" t="str">
        <f>VLOOKUP(B58,'State Interconnection Mapping'!$A$3:$B$52,2,0)</f>
        <v>Western</v>
      </c>
      <c r="D58" s="57">
        <f>VLOOKUP(B58,'State Share Interconnect Gen '!$C$4:$F$53,4,0)</f>
        <v>8.6067605191216923E-2</v>
      </c>
      <c r="E58" s="5">
        <f t="shared" si="25"/>
        <v>256155.18841673341</v>
      </c>
      <c r="F58" s="9">
        <f t="shared" si="25"/>
        <v>936035.03278484475</v>
      </c>
      <c r="G58" s="9">
        <f t="shared" si="25"/>
        <v>1536731.5695919339</v>
      </c>
      <c r="H58" s="9">
        <f t="shared" si="25"/>
        <v>1894737.2002856007</v>
      </c>
      <c r="I58" s="9">
        <f t="shared" si="25"/>
        <v>2213699.044140446</v>
      </c>
      <c r="J58" s="9">
        <f t="shared" si="25"/>
        <v>2707834.2586274049</v>
      </c>
      <c r="K58" s="9">
        <f t="shared" si="25"/>
        <v>2795514.7598800007</v>
      </c>
      <c r="L58" s="9">
        <f t="shared" si="25"/>
        <v>2912838.5055946535</v>
      </c>
      <c r="M58" s="6">
        <f t="shared" si="25"/>
        <v>2956309.7878979682</v>
      </c>
    </row>
    <row r="59" spans="2:13" x14ac:dyDescent="0.25">
      <c r="B59" s="8" t="s">
        <v>43</v>
      </c>
      <c r="C59" s="1" t="str">
        <f>VLOOKUP(B59,'State Interconnection Mapping'!$A$3:$B$52,2,0)</f>
        <v>Eastern</v>
      </c>
      <c r="D59" s="57">
        <f>VLOOKUP(B59,'State Share Interconnect Gen '!$C$4:$F$53,4,0)</f>
        <v>2.650391019474084E-2</v>
      </c>
      <c r="E59" s="5">
        <f t="shared" si="25"/>
        <v>0</v>
      </c>
      <c r="F59" s="9">
        <f t="shared" si="25"/>
        <v>276790.38736675709</v>
      </c>
      <c r="G59" s="9">
        <f t="shared" si="25"/>
        <v>798989.95608269062</v>
      </c>
      <c r="H59" s="9">
        <f t="shared" si="25"/>
        <v>965487.21498661337</v>
      </c>
      <c r="I59" s="9">
        <f t="shared" si="25"/>
        <v>1145185.2805302409</v>
      </c>
      <c r="J59" s="9">
        <f t="shared" si="25"/>
        <v>1518504.8900521602</v>
      </c>
      <c r="K59" s="9">
        <f t="shared" si="25"/>
        <v>1261633.6286844595</v>
      </c>
      <c r="L59" s="9">
        <f t="shared" si="25"/>
        <v>1024293.5969798949</v>
      </c>
      <c r="M59" s="6">
        <f t="shared" si="25"/>
        <v>770995.22253482323</v>
      </c>
    </row>
    <row r="60" spans="2:13" x14ac:dyDescent="0.25">
      <c r="B60" s="8" t="s">
        <v>44</v>
      </c>
      <c r="C60" s="1" t="str">
        <f>VLOOKUP(B60,'State Interconnection Mapping'!$A$3:$B$52,2,0)</f>
        <v>Western</v>
      </c>
      <c r="D60" s="57">
        <f>VLOOKUP(B60,'State Share Interconnect Gen '!$C$4:$F$53,4,0)</f>
        <v>4.6608765346749799E-2</v>
      </c>
      <c r="E60" s="5">
        <f t="shared" si="25"/>
        <v>138717.43082362859</v>
      </c>
      <c r="F60" s="9">
        <f t="shared" si="25"/>
        <v>506897.305931526</v>
      </c>
      <c r="G60" s="9">
        <f t="shared" si="25"/>
        <v>832196.51538953464</v>
      </c>
      <c r="H60" s="9">
        <f t="shared" si="25"/>
        <v>1026069.6967885577</v>
      </c>
      <c r="I60" s="9">
        <f t="shared" si="25"/>
        <v>1198799.2354084405</v>
      </c>
      <c r="J60" s="9">
        <f t="shared" si="25"/>
        <v>1466391.5799429535</v>
      </c>
      <c r="K60" s="9">
        <f t="shared" si="25"/>
        <v>1513873.7876712647</v>
      </c>
      <c r="L60" s="9">
        <f t="shared" si="25"/>
        <v>1577408.8996505863</v>
      </c>
      <c r="M60" s="6">
        <f t="shared" si="25"/>
        <v>1600950.193633334</v>
      </c>
    </row>
    <row r="61" spans="2:13" x14ac:dyDescent="0.25">
      <c r="B61" s="8" t="s">
        <v>45</v>
      </c>
      <c r="C61" s="1" t="str">
        <f>VLOOKUP(B61,'State Interconnection Mapping'!$A$3:$B$52,2,0)</f>
        <v>Eastern</v>
      </c>
      <c r="D61" s="57">
        <f>VLOOKUP(B61,'State Share Interconnect Gen '!$C$4:$F$53,4,0)</f>
        <v>3.5508663251430116E-2</v>
      </c>
      <c r="E61" s="5">
        <f t="shared" si="25"/>
        <v>0</v>
      </c>
      <c r="F61" s="9">
        <f t="shared" si="25"/>
        <v>370830.4391323108</v>
      </c>
      <c r="G61" s="9">
        <f t="shared" si="25"/>
        <v>1070448.287945258</v>
      </c>
      <c r="H61" s="9">
        <f t="shared" si="25"/>
        <v>1293513.3019475581</v>
      </c>
      <c r="I61" s="9">
        <f t="shared" si="25"/>
        <v>1534264.1213337567</v>
      </c>
      <c r="J61" s="9">
        <f t="shared" si="25"/>
        <v>2034419.7663789026</v>
      </c>
      <c r="K61" s="9">
        <f t="shared" si="25"/>
        <v>1690276.0135568874</v>
      </c>
      <c r="L61" s="9">
        <f t="shared" si="25"/>
        <v>1372299.2622036694</v>
      </c>
      <c r="M61" s="6">
        <f t="shared" si="25"/>
        <v>1032942.2913183153</v>
      </c>
    </row>
    <row r="62" spans="2:13" x14ac:dyDescent="0.25">
      <c r="B62" s="8" t="s">
        <v>46</v>
      </c>
      <c r="C62" s="1" t="str">
        <f>VLOOKUP(B62,'State Interconnection Mapping'!$A$3:$B$52,2,0)</f>
        <v>Eastern</v>
      </c>
      <c r="D62" s="57">
        <f>VLOOKUP(B62,'State Share Interconnect Gen '!$C$4:$F$53,4,0)</f>
        <v>2.1486413004847438E-2</v>
      </c>
      <c r="E62" s="5">
        <f t="shared" si="25"/>
        <v>0</v>
      </c>
      <c r="F62" s="9">
        <f t="shared" si="25"/>
        <v>224390.76102491308</v>
      </c>
      <c r="G62" s="9">
        <f t="shared" si="25"/>
        <v>647731.90283915668</v>
      </c>
      <c r="H62" s="9">
        <f t="shared" si="25"/>
        <v>782709.30212473695</v>
      </c>
      <c r="I62" s="9">
        <f t="shared" si="25"/>
        <v>928388.44245055481</v>
      </c>
      <c r="J62" s="9">
        <f t="shared" si="25"/>
        <v>1231034.3257960244</v>
      </c>
      <c r="K62" s="9">
        <f t="shared" si="25"/>
        <v>1022791.7694988892</v>
      </c>
      <c r="L62" s="9">
        <f t="shared" si="25"/>
        <v>830382.95486293535</v>
      </c>
      <c r="M62" s="6">
        <f t="shared" si="25"/>
        <v>625036.89660986851</v>
      </c>
    </row>
    <row r="63" spans="2:13" x14ac:dyDescent="0.25">
      <c r="B63" s="8" t="s">
        <v>47</v>
      </c>
      <c r="C63" s="1" t="str">
        <f>VLOOKUP(B63,'State Interconnection Mapping'!$A$3:$B$52,2,0)</f>
        <v>Western</v>
      </c>
      <c r="D63" s="57">
        <f>VLOOKUP(B63,'State Share Interconnect Gen '!$C$4:$F$53,4,0)</f>
        <v>0.10391369438998607</v>
      </c>
      <c r="E63" s="5">
        <f t="shared" si="25"/>
        <v>309268.88120574859</v>
      </c>
      <c r="F63" s="9">
        <f t="shared" si="25"/>
        <v>1130121.5842944228</v>
      </c>
      <c r="G63" s="9">
        <f t="shared" si="25"/>
        <v>1855372.3474382868</v>
      </c>
      <c r="H63" s="9">
        <f t="shared" si="25"/>
        <v>2287610.3261196353</v>
      </c>
      <c r="I63" s="9">
        <f t="shared" si="25"/>
        <v>2672708.8017976964</v>
      </c>
      <c r="J63" s="9">
        <f t="shared" si="25"/>
        <v>3269302.7880187519</v>
      </c>
      <c r="K63" s="9">
        <f t="shared" si="25"/>
        <v>3375163.8119299039</v>
      </c>
      <c r="L63" s="9">
        <f t="shared" si="25"/>
        <v>3516814.59714456</v>
      </c>
      <c r="M63" s="6">
        <f t="shared" si="25"/>
        <v>3569299.6353185792</v>
      </c>
    </row>
    <row r="64" spans="2:13" x14ac:dyDescent="0.25">
      <c r="B64" s="8" t="s">
        <v>65</v>
      </c>
      <c r="C64" s="1" t="str">
        <f>VLOOKUP(B64,'State Interconnection Mapping'!$A$3:$B$52,2,0)</f>
        <v>Western</v>
      </c>
      <c r="D64" s="57">
        <f>VLOOKUP(B64,'State Share Interconnect Gen '!$C$4:$F$53,4,0)</f>
        <v>7.0957988212623738E-2</v>
      </c>
      <c r="E64" s="5">
        <f t="shared" si="25"/>
        <v>211185.80910779012</v>
      </c>
      <c r="F64" s="9">
        <f t="shared" si="25"/>
        <v>771709.20087047876</v>
      </c>
      <c r="G64" s="9">
        <f t="shared" si="25"/>
        <v>1266950.327696569</v>
      </c>
      <c r="H64" s="9">
        <f t="shared" si="25"/>
        <v>1562106.2027366071</v>
      </c>
      <c r="I64" s="9">
        <f t="shared" si="25"/>
        <v>1825072.6313510109</v>
      </c>
      <c r="J64" s="9">
        <f t="shared" si="25"/>
        <v>2232459.8317629271</v>
      </c>
      <c r="K64" s="9">
        <f t="shared" si="25"/>
        <v>2304747.5637212633</v>
      </c>
      <c r="L64" s="9">
        <f t="shared" si="25"/>
        <v>2401474.5139714228</v>
      </c>
      <c r="M64" s="6">
        <f t="shared" si="25"/>
        <v>2437314.1859410694</v>
      </c>
    </row>
    <row r="65" spans="2:23" x14ac:dyDescent="0.25">
      <c r="B65" s="8" t="s">
        <v>66</v>
      </c>
      <c r="C65" s="1" t="str">
        <f>VLOOKUP(B65,'State Interconnection Mapping'!$A$3:$B$52,2,0)</f>
        <v>Western</v>
      </c>
      <c r="D65" s="57">
        <f>VLOOKUP(B65,'State Share Interconnect Gen '!$C$4:$F$53,4,0)</f>
        <v>7.4011122779048073E-3</v>
      </c>
      <c r="E65" s="5">
        <f t="shared" si="25"/>
        <v>22027.257593935843</v>
      </c>
      <c r="F65" s="9">
        <f t="shared" si="25"/>
        <v>80491.380680357368</v>
      </c>
      <c r="G65" s="9">
        <f t="shared" si="25"/>
        <v>132146.38495264464</v>
      </c>
      <c r="H65" s="9">
        <f t="shared" si="25"/>
        <v>162931.95012550187</v>
      </c>
      <c r="I65" s="9">
        <f t="shared" si="25"/>
        <v>190360.06798114022</v>
      </c>
      <c r="J65" s="9">
        <f t="shared" si="25"/>
        <v>232851.66740184498</v>
      </c>
      <c r="K65" s="9">
        <f t="shared" si="25"/>
        <v>240391.47558997446</v>
      </c>
      <c r="L65" s="9">
        <f t="shared" si="25"/>
        <v>250480.36110002594</v>
      </c>
      <c r="M65" s="6">
        <f t="shared" si="25"/>
        <v>254218.53692676732</v>
      </c>
    </row>
    <row r="66" spans="2:23" ht="15.75" thickBot="1" x14ac:dyDescent="0.3">
      <c r="B66" s="12" t="s">
        <v>67</v>
      </c>
      <c r="C66" s="13" t="str">
        <f>VLOOKUP(B66,'State Interconnection Mapping'!$A$3:$B$52,2,0)</f>
        <v>Western</v>
      </c>
      <c r="D66" s="58">
        <f>VLOOKUP(B66,'State Share Interconnect Gen '!$C$4:$F$53,4,0)</f>
        <v>3.2572137714622063E-3</v>
      </c>
      <c r="E66" s="35">
        <f t="shared" si="25"/>
        <v>9694.1492154777043</v>
      </c>
      <c r="F66" s="10">
        <f t="shared" si="25"/>
        <v>35424.085433586646</v>
      </c>
      <c r="G66" s="10">
        <f t="shared" si="25"/>
        <v>58157.342944478478</v>
      </c>
      <c r="H66" s="10">
        <f t="shared" si="25"/>
        <v>71706.004696663775</v>
      </c>
      <c r="I66" s="10">
        <f t="shared" si="25"/>
        <v>83777.061025776085</v>
      </c>
      <c r="J66" s="10">
        <f t="shared" si="25"/>
        <v>102477.52355189738</v>
      </c>
      <c r="K66" s="10">
        <f t="shared" si="25"/>
        <v>105795.77709844556</v>
      </c>
      <c r="L66" s="10">
        <f t="shared" si="25"/>
        <v>110235.8741525262</v>
      </c>
      <c r="M66" s="7">
        <f t="shared" si="25"/>
        <v>111881.03738283677</v>
      </c>
    </row>
    <row r="70" spans="2:23" ht="21" x14ac:dyDescent="0.35">
      <c r="B70" s="16" t="s">
        <v>154</v>
      </c>
    </row>
    <row r="71" spans="2:23" ht="15" customHeight="1" x14ac:dyDescent="0.35">
      <c r="B71" s="16"/>
    </row>
    <row r="72" spans="2:23" x14ac:dyDescent="0.25">
      <c r="B72" s="54" t="s">
        <v>155</v>
      </c>
      <c r="F72">
        <v>1030</v>
      </c>
    </row>
    <row r="73" spans="2:23" ht="15.75" thickBot="1" x14ac:dyDescent="0.3">
      <c r="B73" s="54"/>
    </row>
    <row r="74" spans="2:23" ht="21.75" thickBot="1" x14ac:dyDescent="0.4">
      <c r="D74" s="144" t="s">
        <v>159</v>
      </c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6"/>
    </row>
    <row r="75" spans="2:23" ht="21.75" thickBot="1" x14ac:dyDescent="0.4">
      <c r="D75" s="125"/>
      <c r="E75" s="126"/>
      <c r="F75" s="126"/>
      <c r="G75" s="126"/>
      <c r="H75" s="126"/>
      <c r="I75" s="126"/>
      <c r="J75" s="126"/>
      <c r="K75" s="126"/>
      <c r="L75" s="126"/>
      <c r="M75" s="126"/>
      <c r="N75" s="127" t="s">
        <v>169</v>
      </c>
      <c r="O75" s="128"/>
      <c r="P75" s="128"/>
      <c r="Q75" s="128"/>
      <c r="R75" s="129"/>
      <c r="S75" s="127" t="s">
        <v>170</v>
      </c>
      <c r="T75" s="128"/>
      <c r="U75" s="128"/>
      <c r="V75" s="128"/>
      <c r="W75" s="129"/>
    </row>
    <row r="76" spans="2:23" x14ac:dyDescent="0.25">
      <c r="D76" s="59" t="s">
        <v>0</v>
      </c>
      <c r="E76" s="11">
        <v>2022</v>
      </c>
      <c r="F76" s="11">
        <v>2023</v>
      </c>
      <c r="G76" s="11">
        <v>2024</v>
      </c>
      <c r="H76" s="11">
        <v>2025</v>
      </c>
      <c r="I76" s="11">
        <v>2026</v>
      </c>
      <c r="J76" s="11">
        <v>2027</v>
      </c>
      <c r="K76" s="11">
        <v>2028</v>
      </c>
      <c r="L76" s="11">
        <v>2029</v>
      </c>
      <c r="M76" s="11">
        <v>2030</v>
      </c>
      <c r="N76" s="123" t="s">
        <v>134</v>
      </c>
      <c r="O76" s="11" t="s">
        <v>135</v>
      </c>
      <c r="P76" s="11" t="s">
        <v>136</v>
      </c>
      <c r="Q76" s="11" t="s">
        <v>77</v>
      </c>
      <c r="R76" s="124" t="s">
        <v>78</v>
      </c>
      <c r="S76" s="123" t="s">
        <v>134</v>
      </c>
      <c r="T76" s="11" t="s">
        <v>135</v>
      </c>
      <c r="U76" s="11" t="s">
        <v>136</v>
      </c>
      <c r="V76" s="11" t="s">
        <v>171</v>
      </c>
      <c r="W76" s="124" t="s">
        <v>172</v>
      </c>
    </row>
    <row r="77" spans="2:23" x14ac:dyDescent="0.25">
      <c r="D77" s="8" t="s">
        <v>1</v>
      </c>
      <c r="E77" s="20">
        <f>E17*$F$72/2000</f>
        <v>0</v>
      </c>
      <c r="F77" s="20">
        <f t="shared" ref="F77:M77" si="26">F17*$F$72/2000</f>
        <v>271299.06901378045</v>
      </c>
      <c r="G77" s="20">
        <f t="shared" si="26"/>
        <v>783138.58114362077</v>
      </c>
      <c r="H77" s="20">
        <f t="shared" si="26"/>
        <v>946332.65650046489</v>
      </c>
      <c r="I77" s="20">
        <f t="shared" si="26"/>
        <v>1122465.6441716207</v>
      </c>
      <c r="J77" s="20">
        <f t="shared" si="26"/>
        <v>1488378.8663446275</v>
      </c>
      <c r="K77" s="20">
        <f t="shared" si="26"/>
        <v>1236603.7424740414</v>
      </c>
      <c r="L77" s="20">
        <f t="shared" si="26"/>
        <v>1003972.3629896438</v>
      </c>
      <c r="M77" s="20">
        <f t="shared" si="26"/>
        <v>755699.24258464936</v>
      </c>
      <c r="N77" s="5">
        <f>ROUNDUP(AVERAGE(E77:G77),0)</f>
        <v>351480</v>
      </c>
      <c r="O77" s="9">
        <f>ROUNDUP(AVERAGE(H77:J77),0)</f>
        <v>1185726</v>
      </c>
      <c r="P77" s="9">
        <f>ROUNDUP(AVERAGE(K77:L77),0)</f>
        <v>1120289</v>
      </c>
      <c r="Q77" s="9">
        <f>ROUNDUP(AVERAGE(E77:L77),0)</f>
        <v>856524</v>
      </c>
      <c r="R77" s="6">
        <f>ROUNDUP(M77,0)</f>
        <v>755700</v>
      </c>
      <c r="S77" s="5">
        <f>N77*3</f>
        <v>1054440</v>
      </c>
      <c r="T77" s="9">
        <f>O77*3</f>
        <v>3557178</v>
      </c>
      <c r="U77" s="9">
        <f>P77*2</f>
        <v>2240578</v>
      </c>
      <c r="V77" s="9">
        <f>Q77*8</f>
        <v>6852192</v>
      </c>
      <c r="W77" s="6">
        <f>R77*2</f>
        <v>1511400</v>
      </c>
    </row>
    <row r="78" spans="2:23" x14ac:dyDescent="0.25">
      <c r="D78" s="8" t="s">
        <v>2</v>
      </c>
      <c r="E78" s="20">
        <f t="shared" ref="E78:M78" si="27">E18*$F$72/2000</f>
        <v>191441.66279130289</v>
      </c>
      <c r="F78" s="20">
        <f t="shared" si="27"/>
        <v>699560.7007409588</v>
      </c>
      <c r="G78" s="20">
        <f t="shared" si="27"/>
        <v>1148500.8317221743</v>
      </c>
      <c r="H78" s="20">
        <f t="shared" si="27"/>
        <v>1416062.0458918556</v>
      </c>
      <c r="I78" s="20">
        <f t="shared" si="27"/>
        <v>1654443.2636683623</v>
      </c>
      <c r="J78" s="20">
        <f t="shared" si="27"/>
        <v>2023743.0919865808</v>
      </c>
      <c r="K78" s="20">
        <f t="shared" si="27"/>
        <v>2089272.5120928939</v>
      </c>
      <c r="L78" s="20">
        <f t="shared" si="27"/>
        <v>2176956.2834166135</v>
      </c>
      <c r="M78" s="20">
        <f t="shared" si="27"/>
        <v>2209445.2391127888</v>
      </c>
      <c r="N78" s="5">
        <f t="shared" ref="N78:N126" si="28">ROUNDUP(AVERAGE(E78:G78),0)</f>
        <v>679835</v>
      </c>
      <c r="O78" s="9">
        <f t="shared" ref="O78:O126" si="29">ROUNDUP(AVERAGE(H78:J78),0)</f>
        <v>1698083</v>
      </c>
      <c r="P78" s="9">
        <f t="shared" ref="P78:P126" si="30">ROUNDUP(AVERAGE(K78:L78),0)</f>
        <v>2133115</v>
      </c>
      <c r="Q78" s="9">
        <f t="shared" ref="Q78:Q126" si="31">ROUNDUP(AVERAGE(E78:L78),0)</f>
        <v>1424998</v>
      </c>
      <c r="R78" s="6">
        <f t="shared" ref="R78:R126" si="32">ROUNDUP(M78,0)</f>
        <v>2209446</v>
      </c>
      <c r="S78" s="41">
        <f t="shared" ref="S78:S126" si="33">N78*3</f>
        <v>2039505</v>
      </c>
      <c r="T78" s="14">
        <f t="shared" ref="T78:T126" si="34">O78*3</f>
        <v>5094249</v>
      </c>
      <c r="U78" s="14">
        <f t="shared" ref="U78:U126" si="35">P78*2</f>
        <v>4266230</v>
      </c>
      <c r="V78" s="14">
        <f t="shared" ref="V78:V126" si="36">Q78*8</f>
        <v>11399984</v>
      </c>
      <c r="W78" s="185">
        <f t="shared" ref="W78:W126" si="37">R78*2</f>
        <v>4418892</v>
      </c>
    </row>
    <row r="79" spans="2:23" x14ac:dyDescent="0.25">
      <c r="D79" s="8" t="s">
        <v>3</v>
      </c>
      <c r="E79" s="20">
        <f t="shared" ref="E79:M79" si="38">E19*$F$72/2000</f>
        <v>0</v>
      </c>
      <c r="F79" s="20">
        <f t="shared" si="38"/>
        <v>130281.45832914991</v>
      </c>
      <c r="G79" s="20">
        <f t="shared" si="38"/>
        <v>376073.66953415435</v>
      </c>
      <c r="H79" s="20">
        <f t="shared" si="38"/>
        <v>454441.65732509986</v>
      </c>
      <c r="I79" s="20">
        <f t="shared" si="38"/>
        <v>539023.08466683095</v>
      </c>
      <c r="J79" s="20">
        <f t="shared" si="38"/>
        <v>714739.53065358836</v>
      </c>
      <c r="K79" s="20">
        <f t="shared" si="38"/>
        <v>593833.73312135972</v>
      </c>
      <c r="L79" s="20">
        <f t="shared" si="38"/>
        <v>482121.01887385978</v>
      </c>
      <c r="M79" s="20">
        <f t="shared" si="38"/>
        <v>362896.93046149466</v>
      </c>
      <c r="N79" s="5">
        <f t="shared" si="28"/>
        <v>168786</v>
      </c>
      <c r="O79" s="9">
        <f t="shared" si="29"/>
        <v>569402</v>
      </c>
      <c r="P79" s="9">
        <f t="shared" si="30"/>
        <v>537978</v>
      </c>
      <c r="Q79" s="9">
        <f t="shared" si="31"/>
        <v>411315</v>
      </c>
      <c r="R79" s="6">
        <f t="shared" si="32"/>
        <v>362897</v>
      </c>
      <c r="S79" s="41">
        <f t="shared" si="33"/>
        <v>506358</v>
      </c>
      <c r="T79" s="14">
        <f t="shared" si="34"/>
        <v>1708206</v>
      </c>
      <c r="U79" s="14">
        <f t="shared" si="35"/>
        <v>1075956</v>
      </c>
      <c r="V79" s="14">
        <f t="shared" si="36"/>
        <v>3290520</v>
      </c>
      <c r="W79" s="185">
        <f t="shared" si="37"/>
        <v>725794</v>
      </c>
    </row>
    <row r="80" spans="2:23" x14ac:dyDescent="0.25">
      <c r="D80" s="8" t="s">
        <v>4</v>
      </c>
      <c r="E80" s="20">
        <f t="shared" ref="E80:M80" si="39">E20*$F$72/2000</f>
        <v>382417.60832816252</v>
      </c>
      <c r="F80" s="20">
        <f t="shared" si="39"/>
        <v>1397419.5906842304</v>
      </c>
      <c r="G80" s="20">
        <f t="shared" si="39"/>
        <v>2294207.7227405501</v>
      </c>
      <c r="H80" s="20">
        <f t="shared" si="39"/>
        <v>2828679.2589374101</v>
      </c>
      <c r="I80" s="20">
        <f t="shared" si="39"/>
        <v>3304861.788086378</v>
      </c>
      <c r="J80" s="20">
        <f t="shared" si="39"/>
        <v>4042563.0545834745</v>
      </c>
      <c r="K80" s="20">
        <f t="shared" si="39"/>
        <v>4173462.4823611458</v>
      </c>
      <c r="L80" s="20">
        <f t="shared" si="39"/>
        <v>4348616.7180165499</v>
      </c>
      <c r="M80" s="20">
        <f t="shared" si="39"/>
        <v>4413515.5940149017</v>
      </c>
      <c r="N80" s="5">
        <f t="shared" si="28"/>
        <v>1358015</v>
      </c>
      <c r="O80" s="9">
        <f t="shared" si="29"/>
        <v>3392035</v>
      </c>
      <c r="P80" s="9">
        <f t="shared" si="30"/>
        <v>4261040</v>
      </c>
      <c r="Q80" s="9">
        <f t="shared" si="31"/>
        <v>2846529</v>
      </c>
      <c r="R80" s="6">
        <f t="shared" si="32"/>
        <v>4413516</v>
      </c>
      <c r="S80" s="41">
        <f t="shared" si="33"/>
        <v>4074045</v>
      </c>
      <c r="T80" s="14">
        <f t="shared" si="34"/>
        <v>10176105</v>
      </c>
      <c r="U80" s="14">
        <f t="shared" si="35"/>
        <v>8522080</v>
      </c>
      <c r="V80" s="14">
        <f t="shared" si="36"/>
        <v>22772232</v>
      </c>
      <c r="W80" s="185">
        <f t="shared" si="37"/>
        <v>8827032</v>
      </c>
    </row>
    <row r="81" spans="4:23" x14ac:dyDescent="0.25">
      <c r="D81" s="8" t="s">
        <v>5</v>
      </c>
      <c r="E81" s="20">
        <f t="shared" ref="E81:M81" si="40">E21*$F$72/2000</f>
        <v>166576.80742349953</v>
      </c>
      <c r="F81" s="20">
        <f t="shared" si="40"/>
        <v>608700.25066283019</v>
      </c>
      <c r="G81" s="20">
        <f t="shared" si="40"/>
        <v>999331.07079241762</v>
      </c>
      <c r="H81" s="20">
        <f t="shared" si="40"/>
        <v>1232140.8583637236</v>
      </c>
      <c r="I81" s="20">
        <f t="shared" si="40"/>
        <v>1439560.6103025912</v>
      </c>
      <c r="J81" s="20">
        <f t="shared" si="40"/>
        <v>1760894.9817573405</v>
      </c>
      <c r="K81" s="20">
        <f t="shared" si="40"/>
        <v>1817913.2996849401</v>
      </c>
      <c r="L81" s="20">
        <f t="shared" si="40"/>
        <v>1894208.5139919743</v>
      </c>
      <c r="M81" s="20">
        <f t="shared" si="40"/>
        <v>1922477.734168421</v>
      </c>
      <c r="N81" s="5">
        <f t="shared" si="28"/>
        <v>591537</v>
      </c>
      <c r="O81" s="9">
        <f t="shared" si="29"/>
        <v>1477533</v>
      </c>
      <c r="P81" s="9">
        <f t="shared" si="30"/>
        <v>1856061</v>
      </c>
      <c r="Q81" s="9">
        <f t="shared" si="31"/>
        <v>1239916</v>
      </c>
      <c r="R81" s="6">
        <f t="shared" si="32"/>
        <v>1922478</v>
      </c>
      <c r="S81" s="41">
        <f t="shared" si="33"/>
        <v>1774611</v>
      </c>
      <c r="T81" s="14">
        <f t="shared" si="34"/>
        <v>4432599</v>
      </c>
      <c r="U81" s="14">
        <f t="shared" si="35"/>
        <v>3712122</v>
      </c>
      <c r="V81" s="14">
        <f t="shared" si="36"/>
        <v>9919328</v>
      </c>
      <c r="W81" s="185">
        <f t="shared" si="37"/>
        <v>3844956</v>
      </c>
    </row>
    <row r="82" spans="4:23" x14ac:dyDescent="0.25">
      <c r="D82" s="8" t="s">
        <v>6</v>
      </c>
      <c r="E82" s="20">
        <f t="shared" ref="E82:M82" si="41">E22*$F$72/2000</f>
        <v>0</v>
      </c>
      <c r="F82" s="20">
        <f t="shared" si="41"/>
        <v>42890.184671047617</v>
      </c>
      <c r="G82" s="20">
        <f t="shared" si="41"/>
        <v>123807.86447360042</v>
      </c>
      <c r="H82" s="20">
        <f t="shared" si="41"/>
        <v>149607.52554401997</v>
      </c>
      <c r="I82" s="20">
        <f t="shared" si="41"/>
        <v>177452.72381668896</v>
      </c>
      <c r="J82" s="20">
        <f t="shared" si="41"/>
        <v>235300.63951219461</v>
      </c>
      <c r="K82" s="20">
        <f t="shared" si="41"/>
        <v>195497.03237988701</v>
      </c>
      <c r="L82" s="20">
        <f t="shared" si="41"/>
        <v>158719.89612712836</v>
      </c>
      <c r="M82" s="20">
        <f t="shared" si="41"/>
        <v>119469.92736853096</v>
      </c>
      <c r="N82" s="5">
        <f t="shared" si="28"/>
        <v>55567</v>
      </c>
      <c r="O82" s="9">
        <f t="shared" si="29"/>
        <v>187454</v>
      </c>
      <c r="P82" s="9">
        <f t="shared" si="30"/>
        <v>177109</v>
      </c>
      <c r="Q82" s="9">
        <f t="shared" si="31"/>
        <v>135410</v>
      </c>
      <c r="R82" s="6">
        <f t="shared" si="32"/>
        <v>119470</v>
      </c>
      <c r="S82" s="41">
        <f t="shared" si="33"/>
        <v>166701</v>
      </c>
      <c r="T82" s="14">
        <f t="shared" si="34"/>
        <v>562362</v>
      </c>
      <c r="U82" s="14">
        <f t="shared" si="35"/>
        <v>354218</v>
      </c>
      <c r="V82" s="14">
        <f t="shared" si="36"/>
        <v>1083280</v>
      </c>
      <c r="W82" s="185">
        <f t="shared" si="37"/>
        <v>238940</v>
      </c>
    </row>
    <row r="83" spans="4:23" x14ac:dyDescent="0.25">
      <c r="D83" s="8" t="s">
        <v>7</v>
      </c>
      <c r="E83" s="20">
        <f t="shared" ref="E83:M83" si="42">E23*$F$72/2000</f>
        <v>0</v>
      </c>
      <c r="F83" s="20">
        <f t="shared" si="42"/>
        <v>24972.675194774372</v>
      </c>
      <c r="G83" s="20">
        <f t="shared" si="42"/>
        <v>72086.739886316034</v>
      </c>
      <c r="H83" s="20">
        <f t="shared" si="42"/>
        <v>87108.511440537593</v>
      </c>
      <c r="I83" s="20">
        <f t="shared" si="42"/>
        <v>103321.29060040101</v>
      </c>
      <c r="J83" s="20">
        <f t="shared" si="42"/>
        <v>137003.05766291777</v>
      </c>
      <c r="K83" s="20">
        <f t="shared" si="42"/>
        <v>113827.53253708383</v>
      </c>
      <c r="L83" s="20">
        <f t="shared" si="42"/>
        <v>92414.160566828083</v>
      </c>
      <c r="M83" s="20">
        <f t="shared" si="42"/>
        <v>69560.989643664667</v>
      </c>
      <c r="N83" s="5">
        <f t="shared" si="28"/>
        <v>32354</v>
      </c>
      <c r="O83" s="9">
        <f t="shared" si="29"/>
        <v>109145</v>
      </c>
      <c r="P83" s="9">
        <f t="shared" si="30"/>
        <v>103121</v>
      </c>
      <c r="Q83" s="9">
        <f t="shared" si="31"/>
        <v>78842</v>
      </c>
      <c r="R83" s="6">
        <f t="shared" si="32"/>
        <v>69561</v>
      </c>
      <c r="S83" s="41">
        <f t="shared" si="33"/>
        <v>97062</v>
      </c>
      <c r="T83" s="14">
        <f t="shared" si="34"/>
        <v>327435</v>
      </c>
      <c r="U83" s="14">
        <f t="shared" si="35"/>
        <v>206242</v>
      </c>
      <c r="V83" s="14">
        <f t="shared" si="36"/>
        <v>630736</v>
      </c>
      <c r="W83" s="185">
        <f t="shared" si="37"/>
        <v>139122</v>
      </c>
    </row>
    <row r="84" spans="4:23" x14ac:dyDescent="0.25">
      <c r="D84" s="8" t="s">
        <v>8</v>
      </c>
      <c r="E84" s="20">
        <f t="shared" ref="E84:M84" si="43">E24*$F$72/2000</f>
        <v>0</v>
      </c>
      <c r="F84" s="20">
        <f t="shared" si="43"/>
        <v>555340.07313154626</v>
      </c>
      <c r="G84" s="20">
        <f t="shared" si="43"/>
        <v>1603058.3462943726</v>
      </c>
      <c r="H84" s="20">
        <f t="shared" si="43"/>
        <v>1937111.1319259424</v>
      </c>
      <c r="I84" s="20">
        <f t="shared" si="43"/>
        <v>2297649.4360555783</v>
      </c>
      <c r="J84" s="20">
        <f t="shared" si="43"/>
        <v>3046661.4997535758</v>
      </c>
      <c r="K84" s="20">
        <f t="shared" si="43"/>
        <v>2531286.2859304384</v>
      </c>
      <c r="L84" s="20">
        <f t="shared" si="43"/>
        <v>2055097.6732485578</v>
      </c>
      <c r="M84" s="20">
        <f t="shared" si="43"/>
        <v>1546890.9427812905</v>
      </c>
      <c r="N84" s="5">
        <f t="shared" si="28"/>
        <v>719467</v>
      </c>
      <c r="O84" s="9">
        <f t="shared" si="29"/>
        <v>2427141</v>
      </c>
      <c r="P84" s="9">
        <f t="shared" si="30"/>
        <v>2293192</v>
      </c>
      <c r="Q84" s="9">
        <f t="shared" si="31"/>
        <v>1753276</v>
      </c>
      <c r="R84" s="6">
        <f t="shared" si="32"/>
        <v>1546891</v>
      </c>
      <c r="S84" s="41">
        <f t="shared" si="33"/>
        <v>2158401</v>
      </c>
      <c r="T84" s="14">
        <f t="shared" si="34"/>
        <v>7281423</v>
      </c>
      <c r="U84" s="14">
        <f t="shared" si="35"/>
        <v>4586384</v>
      </c>
      <c r="V84" s="14">
        <f t="shared" si="36"/>
        <v>14026208</v>
      </c>
      <c r="W84" s="185">
        <f t="shared" si="37"/>
        <v>3093782</v>
      </c>
    </row>
    <row r="85" spans="4:23" x14ac:dyDescent="0.25">
      <c r="D85" s="8" t="s">
        <v>9</v>
      </c>
      <c r="E85" s="20">
        <f t="shared" ref="E85:M85" si="44">E25*$F$72/2000</f>
        <v>0</v>
      </c>
      <c r="F85" s="20">
        <f t="shared" si="44"/>
        <v>214525.77967643191</v>
      </c>
      <c r="G85" s="20">
        <f t="shared" si="44"/>
        <v>619255.40447024617</v>
      </c>
      <c r="H85" s="20">
        <f t="shared" si="44"/>
        <v>748298.7380200678</v>
      </c>
      <c r="I85" s="20">
        <f t="shared" si="44"/>
        <v>887573.32766112091</v>
      </c>
      <c r="J85" s="20">
        <f t="shared" si="44"/>
        <v>1176913.8682163579</v>
      </c>
      <c r="K85" s="20">
        <f t="shared" si="44"/>
        <v>977826.36324329732</v>
      </c>
      <c r="L85" s="20">
        <f t="shared" si="44"/>
        <v>793876.49477338616</v>
      </c>
      <c r="M85" s="20">
        <f t="shared" si="44"/>
        <v>597558.14793498721</v>
      </c>
      <c r="N85" s="5">
        <f t="shared" si="28"/>
        <v>277928</v>
      </c>
      <c r="O85" s="9">
        <f t="shared" si="29"/>
        <v>937596</v>
      </c>
      <c r="P85" s="9">
        <f t="shared" si="30"/>
        <v>885852</v>
      </c>
      <c r="Q85" s="9">
        <f t="shared" si="31"/>
        <v>677284</v>
      </c>
      <c r="R85" s="6">
        <f t="shared" si="32"/>
        <v>597559</v>
      </c>
      <c r="S85" s="41">
        <f t="shared" si="33"/>
        <v>833784</v>
      </c>
      <c r="T85" s="14">
        <f t="shared" si="34"/>
        <v>2812788</v>
      </c>
      <c r="U85" s="14">
        <f t="shared" si="35"/>
        <v>1771704</v>
      </c>
      <c r="V85" s="14">
        <f t="shared" si="36"/>
        <v>5418272</v>
      </c>
      <c r="W85" s="185">
        <f t="shared" si="37"/>
        <v>1195118</v>
      </c>
    </row>
    <row r="86" spans="4:23" x14ac:dyDescent="0.25">
      <c r="D86" s="8" t="s">
        <v>10</v>
      </c>
      <c r="E86" s="20">
        <f t="shared" ref="E86:M86" si="45">E26*$F$72/2000</f>
        <v>12664.101565511857</v>
      </c>
      <c r="F86" s="20">
        <f t="shared" si="45"/>
        <v>46276.801174057837</v>
      </c>
      <c r="G86" s="20">
        <f t="shared" si="45"/>
        <v>75974.743266099642</v>
      </c>
      <c r="H86" s="20">
        <f t="shared" si="45"/>
        <v>93674.246821552733</v>
      </c>
      <c r="I86" s="20">
        <f t="shared" si="45"/>
        <v>109443.45770916955</v>
      </c>
      <c r="J86" s="20">
        <f t="shared" si="45"/>
        <v>133873.09578145485</v>
      </c>
      <c r="K86" s="20">
        <f t="shared" si="45"/>
        <v>138207.9475564319</v>
      </c>
      <c r="L86" s="20">
        <f t="shared" si="45"/>
        <v>144008.33692570531</v>
      </c>
      <c r="M86" s="20">
        <f t="shared" si="45"/>
        <v>146157.52132315963</v>
      </c>
      <c r="N86" s="5">
        <f t="shared" si="28"/>
        <v>44972</v>
      </c>
      <c r="O86" s="9">
        <f t="shared" si="29"/>
        <v>112331</v>
      </c>
      <c r="P86" s="9">
        <f t="shared" si="30"/>
        <v>141109</v>
      </c>
      <c r="Q86" s="9">
        <f t="shared" si="31"/>
        <v>94266</v>
      </c>
      <c r="R86" s="6">
        <f t="shared" si="32"/>
        <v>146158</v>
      </c>
      <c r="S86" s="41">
        <f t="shared" si="33"/>
        <v>134916</v>
      </c>
      <c r="T86" s="14">
        <f t="shared" si="34"/>
        <v>336993</v>
      </c>
      <c r="U86" s="14">
        <f t="shared" si="35"/>
        <v>282218</v>
      </c>
      <c r="V86" s="14">
        <f t="shared" si="36"/>
        <v>754128</v>
      </c>
      <c r="W86" s="185">
        <f t="shared" si="37"/>
        <v>292316</v>
      </c>
    </row>
    <row r="87" spans="4:23" x14ac:dyDescent="0.25">
      <c r="D87" s="8" t="s">
        <v>11</v>
      </c>
      <c r="E87" s="20">
        <f t="shared" ref="E87:M87" si="46">E27*$F$72/2000</f>
        <v>0</v>
      </c>
      <c r="F87" s="20">
        <f t="shared" si="46"/>
        <v>259207.1319848345</v>
      </c>
      <c r="G87" s="20">
        <f t="shared" si="46"/>
        <v>748233.69760476216</v>
      </c>
      <c r="H87" s="20">
        <f t="shared" si="46"/>
        <v>904154.13029897038</v>
      </c>
      <c r="I87" s="20">
        <f t="shared" si="46"/>
        <v>1072436.7814268349</v>
      </c>
      <c r="J87" s="20">
        <f t="shared" si="46"/>
        <v>1422041.0658041504</v>
      </c>
      <c r="K87" s="20">
        <f t="shared" si="46"/>
        <v>1181487.6868306822</v>
      </c>
      <c r="L87" s="20">
        <f t="shared" si="46"/>
        <v>959224.80585203983</v>
      </c>
      <c r="M87" s="20">
        <f t="shared" si="46"/>
        <v>722017.3442745168</v>
      </c>
      <c r="N87" s="5">
        <f t="shared" si="28"/>
        <v>335814</v>
      </c>
      <c r="O87" s="9">
        <f t="shared" si="29"/>
        <v>1132878</v>
      </c>
      <c r="P87" s="9">
        <f t="shared" si="30"/>
        <v>1070357</v>
      </c>
      <c r="Q87" s="9">
        <f t="shared" si="31"/>
        <v>818349</v>
      </c>
      <c r="R87" s="6">
        <f t="shared" si="32"/>
        <v>722018</v>
      </c>
      <c r="S87" s="41">
        <f t="shared" si="33"/>
        <v>1007442</v>
      </c>
      <c r="T87" s="14">
        <f t="shared" si="34"/>
        <v>3398634</v>
      </c>
      <c r="U87" s="14">
        <f t="shared" si="35"/>
        <v>2140714</v>
      </c>
      <c r="V87" s="14">
        <f t="shared" si="36"/>
        <v>6546792</v>
      </c>
      <c r="W87" s="185">
        <f t="shared" si="37"/>
        <v>1444036</v>
      </c>
    </row>
    <row r="88" spans="4:23" x14ac:dyDescent="0.25">
      <c r="D88" s="8" t="s">
        <v>12</v>
      </c>
      <c r="E88" s="20">
        <f t="shared" ref="E88:M88" si="47">E28*$F$72/2000</f>
        <v>0</v>
      </c>
      <c r="F88" s="20">
        <f t="shared" si="47"/>
        <v>297531.39064593066</v>
      </c>
      <c r="G88" s="20">
        <f t="shared" si="47"/>
        <v>858861.44749102334</v>
      </c>
      <c r="H88" s="20">
        <f t="shared" si="47"/>
        <v>1037835.0074173651</v>
      </c>
      <c r="I88" s="20">
        <f t="shared" si="47"/>
        <v>1230998.5628653185</v>
      </c>
      <c r="J88" s="20">
        <f t="shared" si="47"/>
        <v>1632292.4937462169</v>
      </c>
      <c r="K88" s="20">
        <f t="shared" si="47"/>
        <v>1356172.8483394654</v>
      </c>
      <c r="L88" s="20">
        <f t="shared" si="47"/>
        <v>1101047.985222599</v>
      </c>
      <c r="M88" s="20">
        <f t="shared" si="47"/>
        <v>828768.95734893368</v>
      </c>
      <c r="N88" s="5">
        <f t="shared" si="28"/>
        <v>385465</v>
      </c>
      <c r="O88" s="9">
        <f t="shared" si="29"/>
        <v>1300376</v>
      </c>
      <c r="P88" s="9">
        <f t="shared" si="30"/>
        <v>1228611</v>
      </c>
      <c r="Q88" s="9">
        <f t="shared" si="31"/>
        <v>939343</v>
      </c>
      <c r="R88" s="6">
        <f t="shared" si="32"/>
        <v>828769</v>
      </c>
      <c r="S88" s="41">
        <f t="shared" si="33"/>
        <v>1156395</v>
      </c>
      <c r="T88" s="14">
        <f t="shared" si="34"/>
        <v>3901128</v>
      </c>
      <c r="U88" s="14">
        <f t="shared" si="35"/>
        <v>2457222</v>
      </c>
      <c r="V88" s="14">
        <f t="shared" si="36"/>
        <v>7514744</v>
      </c>
      <c r="W88" s="185">
        <f t="shared" si="37"/>
        <v>1657538</v>
      </c>
    </row>
    <row r="89" spans="4:23" x14ac:dyDescent="0.25">
      <c r="D89" s="8" t="s">
        <v>13</v>
      </c>
      <c r="E89" s="20">
        <f t="shared" ref="E89:M89" si="48">E29*$F$72/2000</f>
        <v>0</v>
      </c>
      <c r="F89" s="20">
        <f t="shared" si="48"/>
        <v>94685.498590034375</v>
      </c>
      <c r="G89" s="20">
        <f t="shared" si="48"/>
        <v>273321.49457877182</v>
      </c>
      <c r="H89" s="20">
        <f t="shared" si="48"/>
        <v>330277.50422625622</v>
      </c>
      <c r="I89" s="20">
        <f t="shared" si="48"/>
        <v>391749.29554651561</v>
      </c>
      <c r="J89" s="20">
        <f t="shared" si="48"/>
        <v>519455.8741502827</v>
      </c>
      <c r="K89" s="20">
        <f t="shared" si="48"/>
        <v>431584.38523248176</v>
      </c>
      <c r="L89" s="20">
        <f t="shared" si="48"/>
        <v>350394.21294682293</v>
      </c>
      <c r="M89" s="20">
        <f t="shared" si="48"/>
        <v>263744.95064929372</v>
      </c>
      <c r="N89" s="5">
        <f t="shared" si="28"/>
        <v>122669</v>
      </c>
      <c r="O89" s="9">
        <f t="shared" si="29"/>
        <v>413828</v>
      </c>
      <c r="P89" s="9">
        <f t="shared" si="30"/>
        <v>390990</v>
      </c>
      <c r="Q89" s="9">
        <f t="shared" si="31"/>
        <v>298934</v>
      </c>
      <c r="R89" s="6">
        <f t="shared" si="32"/>
        <v>263745</v>
      </c>
      <c r="S89" s="41">
        <f t="shared" si="33"/>
        <v>368007</v>
      </c>
      <c r="T89" s="14">
        <f t="shared" si="34"/>
        <v>1241484</v>
      </c>
      <c r="U89" s="14">
        <f t="shared" si="35"/>
        <v>781980</v>
      </c>
      <c r="V89" s="14">
        <f t="shared" si="36"/>
        <v>2391472</v>
      </c>
      <c r="W89" s="185">
        <f t="shared" si="37"/>
        <v>527490</v>
      </c>
    </row>
    <row r="90" spans="4:23" x14ac:dyDescent="0.25">
      <c r="D90" s="8" t="s">
        <v>14</v>
      </c>
      <c r="E90" s="20">
        <f t="shared" ref="E90:M90" si="49">E30*$F$72/2000</f>
        <v>0</v>
      </c>
      <c r="F90" s="20">
        <f t="shared" si="49"/>
        <v>82569.652143311978</v>
      </c>
      <c r="G90" s="20">
        <f t="shared" si="49"/>
        <v>238347.59352510393</v>
      </c>
      <c r="H90" s="20">
        <f t="shared" si="49"/>
        <v>288015.57831785531</v>
      </c>
      <c r="I90" s="20">
        <f t="shared" si="49"/>
        <v>341621.51060445252</v>
      </c>
      <c r="J90" s="20">
        <f t="shared" si="49"/>
        <v>452986.90370843303</v>
      </c>
      <c r="K90" s="20">
        <f t="shared" si="49"/>
        <v>376359.34847241559</v>
      </c>
      <c r="L90" s="20">
        <f t="shared" si="49"/>
        <v>305558.17635092244</v>
      </c>
      <c r="M90" s="20">
        <f t="shared" si="49"/>
        <v>229996.45303614874</v>
      </c>
      <c r="N90" s="5">
        <f t="shared" si="28"/>
        <v>106973</v>
      </c>
      <c r="O90" s="9">
        <f t="shared" si="29"/>
        <v>360875</v>
      </c>
      <c r="P90" s="9">
        <f t="shared" si="30"/>
        <v>340959</v>
      </c>
      <c r="Q90" s="9">
        <f t="shared" si="31"/>
        <v>260683</v>
      </c>
      <c r="R90" s="6">
        <f t="shared" si="32"/>
        <v>229997</v>
      </c>
      <c r="S90" s="41">
        <f t="shared" si="33"/>
        <v>320919</v>
      </c>
      <c r="T90" s="14">
        <f t="shared" si="34"/>
        <v>1082625</v>
      </c>
      <c r="U90" s="14">
        <f t="shared" si="35"/>
        <v>681918</v>
      </c>
      <c r="V90" s="14">
        <f t="shared" si="36"/>
        <v>2085464</v>
      </c>
      <c r="W90" s="185">
        <f t="shared" si="37"/>
        <v>459994</v>
      </c>
    </row>
    <row r="91" spans="4:23" x14ac:dyDescent="0.25">
      <c r="D91" s="8" t="s">
        <v>15</v>
      </c>
      <c r="E91" s="20">
        <f t="shared" ref="E91:M91" si="50">E31*$F$72/2000</f>
        <v>0</v>
      </c>
      <c r="F91" s="20">
        <f t="shared" si="50"/>
        <v>238335.45173148604</v>
      </c>
      <c r="G91" s="20">
        <f t="shared" si="50"/>
        <v>687984.99082110426</v>
      </c>
      <c r="H91" s="20">
        <f t="shared" si="50"/>
        <v>831350.51659111702</v>
      </c>
      <c r="I91" s="20">
        <f t="shared" si="50"/>
        <v>986082.83961021609</v>
      </c>
      <c r="J91" s="20">
        <f t="shared" si="50"/>
        <v>1307536.552732606</v>
      </c>
      <c r="K91" s="20">
        <f t="shared" si="50"/>
        <v>1086352.8306484031</v>
      </c>
      <c r="L91" s="20">
        <f t="shared" si="50"/>
        <v>881986.83294010872</v>
      </c>
      <c r="M91" s="20">
        <f t="shared" si="50"/>
        <v>663879.6108268461</v>
      </c>
      <c r="N91" s="5">
        <f t="shared" si="28"/>
        <v>308774</v>
      </c>
      <c r="O91" s="9">
        <f t="shared" si="29"/>
        <v>1041657</v>
      </c>
      <c r="P91" s="9">
        <f t="shared" si="30"/>
        <v>984170</v>
      </c>
      <c r="Q91" s="9">
        <f t="shared" si="31"/>
        <v>752454</v>
      </c>
      <c r="R91" s="6">
        <f t="shared" si="32"/>
        <v>663880</v>
      </c>
      <c r="S91" s="41">
        <f t="shared" si="33"/>
        <v>926322</v>
      </c>
      <c r="T91" s="14">
        <f t="shared" si="34"/>
        <v>3124971</v>
      </c>
      <c r="U91" s="14">
        <f t="shared" si="35"/>
        <v>1968340</v>
      </c>
      <c r="V91" s="14">
        <f t="shared" si="36"/>
        <v>6019632</v>
      </c>
      <c r="W91" s="185">
        <f t="shared" si="37"/>
        <v>1327760</v>
      </c>
    </row>
    <row r="92" spans="4:23" x14ac:dyDescent="0.25">
      <c r="D92" s="8" t="s">
        <v>16</v>
      </c>
      <c r="E92" s="20">
        <f t="shared" ref="E92:M92" si="51">E32*$F$72/2000</f>
        <v>0</v>
      </c>
      <c r="F92" s="20">
        <f t="shared" si="51"/>
        <v>153401.73213836734</v>
      </c>
      <c r="G92" s="20">
        <f t="shared" si="51"/>
        <v>442813.22191235604</v>
      </c>
      <c r="H92" s="20">
        <f t="shared" si="51"/>
        <v>535088.70934938639</v>
      </c>
      <c r="I92" s="20">
        <f t="shared" si="51"/>
        <v>634680.29841631581</v>
      </c>
      <c r="J92" s="20">
        <f t="shared" si="51"/>
        <v>841580.09463647648</v>
      </c>
      <c r="K92" s="20">
        <f t="shared" si="51"/>
        <v>699217.8659288726</v>
      </c>
      <c r="L92" s="20">
        <f t="shared" si="51"/>
        <v>567680.16219708486</v>
      </c>
      <c r="M92" s="20">
        <f t="shared" si="51"/>
        <v>427298.08550227305</v>
      </c>
      <c r="N92" s="5">
        <f t="shared" si="28"/>
        <v>198739</v>
      </c>
      <c r="O92" s="9">
        <f t="shared" si="29"/>
        <v>670450</v>
      </c>
      <c r="P92" s="9">
        <f t="shared" si="30"/>
        <v>633450</v>
      </c>
      <c r="Q92" s="9">
        <f t="shared" si="31"/>
        <v>484308</v>
      </c>
      <c r="R92" s="6">
        <f t="shared" si="32"/>
        <v>427299</v>
      </c>
      <c r="S92" s="41">
        <f t="shared" si="33"/>
        <v>596217</v>
      </c>
      <c r="T92" s="14">
        <f t="shared" si="34"/>
        <v>2011350</v>
      </c>
      <c r="U92" s="14">
        <f t="shared" si="35"/>
        <v>1266900</v>
      </c>
      <c r="V92" s="14">
        <f t="shared" si="36"/>
        <v>3874464</v>
      </c>
      <c r="W92" s="185">
        <f t="shared" si="37"/>
        <v>854598</v>
      </c>
    </row>
    <row r="93" spans="4:23" x14ac:dyDescent="0.25">
      <c r="D93" s="8" t="s">
        <v>17</v>
      </c>
      <c r="E93" s="20">
        <f t="shared" ref="E93:M93" si="52">E33*$F$72/2000</f>
        <v>0</v>
      </c>
      <c r="F93" s="20">
        <f t="shared" si="52"/>
        <v>12933.155724153847</v>
      </c>
      <c r="G93" s="20">
        <f t="shared" si="52"/>
        <v>37333.166163606969</v>
      </c>
      <c r="H93" s="20">
        <f t="shared" si="52"/>
        <v>45112.825701407135</v>
      </c>
      <c r="I93" s="20">
        <f t="shared" si="52"/>
        <v>53509.298885013297</v>
      </c>
      <c r="J93" s="20">
        <f t="shared" si="52"/>
        <v>70952.826063685716</v>
      </c>
      <c r="K93" s="20">
        <f t="shared" si="52"/>
        <v>58950.400488384475</v>
      </c>
      <c r="L93" s="20">
        <f t="shared" si="52"/>
        <v>47860.580430639937</v>
      </c>
      <c r="M93" s="20">
        <f t="shared" si="52"/>
        <v>36025.099608712415</v>
      </c>
      <c r="N93" s="5">
        <f t="shared" si="28"/>
        <v>16756</v>
      </c>
      <c r="O93" s="9">
        <f t="shared" si="29"/>
        <v>56525</v>
      </c>
      <c r="P93" s="9">
        <f t="shared" si="30"/>
        <v>53406</v>
      </c>
      <c r="Q93" s="9">
        <f t="shared" si="31"/>
        <v>40832</v>
      </c>
      <c r="R93" s="6">
        <f t="shared" si="32"/>
        <v>36026</v>
      </c>
      <c r="S93" s="41">
        <f t="shared" si="33"/>
        <v>50268</v>
      </c>
      <c r="T93" s="14">
        <f t="shared" si="34"/>
        <v>169575</v>
      </c>
      <c r="U93" s="14">
        <f t="shared" si="35"/>
        <v>106812</v>
      </c>
      <c r="V93" s="14">
        <f t="shared" si="36"/>
        <v>326656</v>
      </c>
      <c r="W93" s="185">
        <f t="shared" si="37"/>
        <v>72052</v>
      </c>
    </row>
    <row r="94" spans="4:23" x14ac:dyDescent="0.25">
      <c r="D94" s="8" t="s">
        <v>18</v>
      </c>
      <c r="E94" s="20">
        <f t="shared" ref="E94:M94" si="53">E34*$F$72/2000</f>
        <v>0</v>
      </c>
      <c r="F94" s="20">
        <f t="shared" si="53"/>
        <v>54140.879186525955</v>
      </c>
      <c r="G94" s="20">
        <f t="shared" si="53"/>
        <v>156284.39663333475</v>
      </c>
      <c r="H94" s="20">
        <f t="shared" si="53"/>
        <v>188851.66916386789</v>
      </c>
      <c r="I94" s="20">
        <f t="shared" si="53"/>
        <v>224001.0518762042</v>
      </c>
      <c r="J94" s="20">
        <f t="shared" si="53"/>
        <v>297023.28385966492</v>
      </c>
      <c r="K94" s="20">
        <f t="shared" si="53"/>
        <v>246778.63461260975</v>
      </c>
      <c r="L94" s="20">
        <f t="shared" si="53"/>
        <v>200354.34182957816</v>
      </c>
      <c r="M94" s="20">
        <f t="shared" si="53"/>
        <v>150808.55803469956</v>
      </c>
      <c r="N94" s="5">
        <f t="shared" si="28"/>
        <v>70142</v>
      </c>
      <c r="O94" s="9">
        <f t="shared" si="29"/>
        <v>236626</v>
      </c>
      <c r="P94" s="9">
        <f t="shared" si="30"/>
        <v>223567</v>
      </c>
      <c r="Q94" s="9">
        <f t="shared" si="31"/>
        <v>170930</v>
      </c>
      <c r="R94" s="6">
        <f t="shared" si="32"/>
        <v>150809</v>
      </c>
      <c r="S94" s="41">
        <f t="shared" si="33"/>
        <v>210426</v>
      </c>
      <c r="T94" s="14">
        <f t="shared" si="34"/>
        <v>709878</v>
      </c>
      <c r="U94" s="14">
        <f t="shared" si="35"/>
        <v>447134</v>
      </c>
      <c r="V94" s="14">
        <f t="shared" si="36"/>
        <v>1367440</v>
      </c>
      <c r="W94" s="185">
        <f t="shared" si="37"/>
        <v>301618</v>
      </c>
    </row>
    <row r="95" spans="4:23" x14ac:dyDescent="0.25">
      <c r="D95" s="8" t="s">
        <v>19</v>
      </c>
      <c r="E95" s="20">
        <f t="shared" ref="E95:M95" si="54">E35*$F$72/2000</f>
        <v>0</v>
      </c>
      <c r="F95" s="20">
        <f t="shared" si="54"/>
        <v>71307.417299436551</v>
      </c>
      <c r="G95" s="20">
        <f t="shared" si="54"/>
        <v>205837.74876890669</v>
      </c>
      <c r="H95" s="20">
        <f t="shared" si="54"/>
        <v>248731.18026709984</v>
      </c>
      <c r="I95" s="20">
        <f t="shared" si="54"/>
        <v>295025.43589326151</v>
      </c>
      <c r="J95" s="20">
        <f t="shared" si="54"/>
        <v>391200.94775079278</v>
      </c>
      <c r="K95" s="20">
        <f t="shared" si="54"/>
        <v>325025.1444621156</v>
      </c>
      <c r="L95" s="20">
        <f t="shared" si="54"/>
        <v>263881.02438039519</v>
      </c>
      <c r="M95" s="20">
        <f t="shared" si="54"/>
        <v>198625.67696874245</v>
      </c>
      <c r="N95" s="5">
        <f t="shared" si="28"/>
        <v>92382</v>
      </c>
      <c r="O95" s="9">
        <f t="shared" si="29"/>
        <v>311653</v>
      </c>
      <c r="P95" s="9">
        <f t="shared" si="30"/>
        <v>294454</v>
      </c>
      <c r="Q95" s="9">
        <f t="shared" si="31"/>
        <v>225127</v>
      </c>
      <c r="R95" s="6">
        <f t="shared" si="32"/>
        <v>198626</v>
      </c>
      <c r="S95" s="41">
        <f t="shared" si="33"/>
        <v>277146</v>
      </c>
      <c r="T95" s="14">
        <f t="shared" si="34"/>
        <v>934959</v>
      </c>
      <c r="U95" s="14">
        <f t="shared" si="35"/>
        <v>588908</v>
      </c>
      <c r="V95" s="14">
        <f t="shared" si="36"/>
        <v>1801016</v>
      </c>
      <c r="W95" s="185">
        <f t="shared" si="37"/>
        <v>397252</v>
      </c>
    </row>
    <row r="96" spans="4:23" x14ac:dyDescent="0.25">
      <c r="D96" s="8" t="s">
        <v>20</v>
      </c>
      <c r="E96" s="20">
        <f t="shared" ref="E96:M96" si="55">E36*$F$72/2000</f>
        <v>0</v>
      </c>
      <c r="F96" s="20">
        <f t="shared" si="55"/>
        <v>197537.86205173997</v>
      </c>
      <c r="G96" s="20">
        <f t="shared" si="55"/>
        <v>570217.66263962386</v>
      </c>
      <c r="H96" s="20">
        <f t="shared" si="55"/>
        <v>689042.28250540025</v>
      </c>
      <c r="I96" s="20">
        <f t="shared" si="55"/>
        <v>817287.96336167445</v>
      </c>
      <c r="J96" s="20">
        <f t="shared" si="55"/>
        <v>1083716.1375064505</v>
      </c>
      <c r="K96" s="20">
        <f t="shared" si="55"/>
        <v>900394.0204494202</v>
      </c>
      <c r="L96" s="20">
        <f t="shared" si="55"/>
        <v>731010.81719500455</v>
      </c>
      <c r="M96" s="20">
        <f t="shared" si="55"/>
        <v>550238.57353048376</v>
      </c>
      <c r="N96" s="5">
        <f t="shared" si="28"/>
        <v>255919</v>
      </c>
      <c r="O96" s="9">
        <f t="shared" si="29"/>
        <v>863349</v>
      </c>
      <c r="P96" s="9">
        <f t="shared" si="30"/>
        <v>815703</v>
      </c>
      <c r="Q96" s="9">
        <f t="shared" si="31"/>
        <v>623651</v>
      </c>
      <c r="R96" s="6">
        <f t="shared" si="32"/>
        <v>550239</v>
      </c>
      <c r="S96" s="41">
        <f t="shared" si="33"/>
        <v>767757</v>
      </c>
      <c r="T96" s="14">
        <f t="shared" si="34"/>
        <v>2590047</v>
      </c>
      <c r="U96" s="14">
        <f t="shared" si="35"/>
        <v>1631406</v>
      </c>
      <c r="V96" s="14">
        <f t="shared" si="36"/>
        <v>4989208</v>
      </c>
      <c r="W96" s="185">
        <f t="shared" si="37"/>
        <v>1100478</v>
      </c>
    </row>
    <row r="97" spans="4:23" x14ac:dyDescent="0.25">
      <c r="D97" s="8" t="s">
        <v>21</v>
      </c>
      <c r="E97" s="20">
        <f t="shared" ref="E97:M97" si="56">E37*$F$72/2000</f>
        <v>0</v>
      </c>
      <c r="F97" s="20">
        <f t="shared" si="56"/>
        <v>90758.067362211688</v>
      </c>
      <c r="G97" s="20">
        <f t="shared" si="56"/>
        <v>261984.47477079014</v>
      </c>
      <c r="H97" s="20">
        <f t="shared" si="56"/>
        <v>316578.02327868406</v>
      </c>
      <c r="I97" s="20">
        <f t="shared" si="56"/>
        <v>375500.04471383465</v>
      </c>
      <c r="J97" s="20">
        <f t="shared" si="56"/>
        <v>497909.52067489963</v>
      </c>
      <c r="K97" s="20">
        <f t="shared" si="56"/>
        <v>413682.82673362718</v>
      </c>
      <c r="L97" s="20">
        <f t="shared" si="56"/>
        <v>335860.31710777682</v>
      </c>
      <c r="M97" s="20">
        <f t="shared" si="56"/>
        <v>252805.15341755992</v>
      </c>
      <c r="N97" s="5">
        <f t="shared" si="28"/>
        <v>117581</v>
      </c>
      <c r="O97" s="9">
        <f t="shared" si="29"/>
        <v>396663</v>
      </c>
      <c r="P97" s="9">
        <f t="shared" si="30"/>
        <v>374772</v>
      </c>
      <c r="Q97" s="9">
        <f t="shared" si="31"/>
        <v>286535</v>
      </c>
      <c r="R97" s="6">
        <f t="shared" si="32"/>
        <v>252806</v>
      </c>
      <c r="S97" s="41">
        <f t="shared" si="33"/>
        <v>352743</v>
      </c>
      <c r="T97" s="14">
        <f t="shared" si="34"/>
        <v>1189989</v>
      </c>
      <c r="U97" s="14">
        <f t="shared" si="35"/>
        <v>749544</v>
      </c>
      <c r="V97" s="14">
        <f t="shared" si="36"/>
        <v>2292280</v>
      </c>
      <c r="W97" s="185">
        <f t="shared" si="37"/>
        <v>505612</v>
      </c>
    </row>
    <row r="98" spans="4:23" x14ac:dyDescent="0.25">
      <c r="D98" s="8" t="s">
        <v>22</v>
      </c>
      <c r="E98" s="20">
        <f t="shared" ref="E98:M98" si="57">E38*$F$72/2000</f>
        <v>0</v>
      </c>
      <c r="F98" s="20">
        <f t="shared" si="57"/>
        <v>130004.45125922472</v>
      </c>
      <c r="G98" s="20">
        <f t="shared" si="57"/>
        <v>375274.05409685639</v>
      </c>
      <c r="H98" s="20">
        <f t="shared" si="57"/>
        <v>453475.41428820096</v>
      </c>
      <c r="I98" s="20">
        <f t="shared" si="57"/>
        <v>537877.00288957322</v>
      </c>
      <c r="J98" s="20">
        <f t="shared" si="57"/>
        <v>713219.83701732394</v>
      </c>
      <c r="K98" s="20">
        <f t="shared" si="57"/>
        <v>592571.1118355348</v>
      </c>
      <c r="L98" s="20">
        <f t="shared" si="57"/>
        <v>481095.92341898556</v>
      </c>
      <c r="M98" s="20">
        <f t="shared" si="57"/>
        <v>362125.33167313901</v>
      </c>
      <c r="N98" s="5">
        <f t="shared" si="28"/>
        <v>168427</v>
      </c>
      <c r="O98" s="9">
        <f t="shared" si="29"/>
        <v>568191</v>
      </c>
      <c r="P98" s="9">
        <f t="shared" si="30"/>
        <v>536834</v>
      </c>
      <c r="Q98" s="9">
        <f t="shared" si="31"/>
        <v>410440</v>
      </c>
      <c r="R98" s="6">
        <f t="shared" si="32"/>
        <v>362126</v>
      </c>
      <c r="S98" s="41">
        <f t="shared" si="33"/>
        <v>505281</v>
      </c>
      <c r="T98" s="14">
        <f t="shared" si="34"/>
        <v>1704573</v>
      </c>
      <c r="U98" s="14">
        <f t="shared" si="35"/>
        <v>1073668</v>
      </c>
      <c r="V98" s="14">
        <f t="shared" si="36"/>
        <v>3283520</v>
      </c>
      <c r="W98" s="185">
        <f t="shared" si="37"/>
        <v>724252</v>
      </c>
    </row>
    <row r="99" spans="4:23" x14ac:dyDescent="0.25">
      <c r="D99" s="8" t="s">
        <v>23</v>
      </c>
      <c r="E99" s="20">
        <f t="shared" ref="E99:M99" si="58">E39*$F$72/2000</f>
        <v>0</v>
      </c>
      <c r="F99" s="20">
        <f t="shared" si="58"/>
        <v>211786.67917363593</v>
      </c>
      <c r="G99" s="20">
        <f t="shared" si="58"/>
        <v>611348.64942988718</v>
      </c>
      <c r="H99" s="20">
        <f t="shared" si="58"/>
        <v>738744.33643418911</v>
      </c>
      <c r="I99" s="20">
        <f t="shared" si="58"/>
        <v>876240.64516612317</v>
      </c>
      <c r="J99" s="20">
        <f t="shared" si="58"/>
        <v>1161886.8380242696</v>
      </c>
      <c r="K99" s="20">
        <f t="shared" si="58"/>
        <v>965341.31511879398</v>
      </c>
      <c r="L99" s="20">
        <f t="shared" si="58"/>
        <v>783740.14887933328</v>
      </c>
      <c r="M99" s="20">
        <f t="shared" si="58"/>
        <v>589928.42704117531</v>
      </c>
      <c r="N99" s="5">
        <f t="shared" si="28"/>
        <v>274379</v>
      </c>
      <c r="O99" s="9">
        <f t="shared" si="29"/>
        <v>925624</v>
      </c>
      <c r="P99" s="9">
        <f t="shared" si="30"/>
        <v>874541</v>
      </c>
      <c r="Q99" s="9">
        <f t="shared" si="31"/>
        <v>668637</v>
      </c>
      <c r="R99" s="6">
        <f t="shared" si="32"/>
        <v>589929</v>
      </c>
      <c r="S99" s="41">
        <f t="shared" si="33"/>
        <v>823137</v>
      </c>
      <c r="T99" s="14">
        <f t="shared" si="34"/>
        <v>2776872</v>
      </c>
      <c r="U99" s="14">
        <f t="shared" si="35"/>
        <v>1749082</v>
      </c>
      <c r="V99" s="14">
        <f t="shared" si="36"/>
        <v>5349096</v>
      </c>
      <c r="W99" s="185">
        <f t="shared" si="37"/>
        <v>1179858</v>
      </c>
    </row>
    <row r="100" spans="4:23" x14ac:dyDescent="0.25">
      <c r="D100" s="8" t="s">
        <v>24</v>
      </c>
      <c r="E100" s="20">
        <f t="shared" ref="E100:M100" si="59">E40*$F$72/2000</f>
        <v>56649.791816664227</v>
      </c>
      <c r="F100" s="20">
        <f t="shared" si="59"/>
        <v>207008.0644007833</v>
      </c>
      <c r="G100" s="20">
        <f t="shared" si="59"/>
        <v>339854.61717000208</v>
      </c>
      <c r="H100" s="20">
        <f t="shared" si="59"/>
        <v>419029.06049611262</v>
      </c>
      <c r="I100" s="20">
        <f t="shared" si="59"/>
        <v>489568.80698151299</v>
      </c>
      <c r="J100" s="20">
        <f t="shared" si="59"/>
        <v>598848.87740674405</v>
      </c>
      <c r="K100" s="20">
        <f t="shared" si="59"/>
        <v>618239.78716360393</v>
      </c>
      <c r="L100" s="20">
        <f t="shared" si="59"/>
        <v>644186.42447736196</v>
      </c>
      <c r="M100" s="20">
        <f t="shared" si="59"/>
        <v>653800.28046719183</v>
      </c>
      <c r="N100" s="5">
        <f t="shared" si="28"/>
        <v>201171</v>
      </c>
      <c r="O100" s="9">
        <f t="shared" si="29"/>
        <v>502483</v>
      </c>
      <c r="P100" s="9">
        <f t="shared" si="30"/>
        <v>631214</v>
      </c>
      <c r="Q100" s="9">
        <f t="shared" si="31"/>
        <v>421674</v>
      </c>
      <c r="R100" s="6">
        <f t="shared" si="32"/>
        <v>653801</v>
      </c>
      <c r="S100" s="41">
        <f t="shared" si="33"/>
        <v>603513</v>
      </c>
      <c r="T100" s="14">
        <f t="shared" si="34"/>
        <v>1507449</v>
      </c>
      <c r="U100" s="14">
        <f t="shared" si="35"/>
        <v>1262428</v>
      </c>
      <c r="V100" s="14">
        <f t="shared" si="36"/>
        <v>3373392</v>
      </c>
      <c r="W100" s="185">
        <f t="shared" si="37"/>
        <v>1307602</v>
      </c>
    </row>
    <row r="101" spans="4:23" x14ac:dyDescent="0.25">
      <c r="D101" s="8" t="s">
        <v>25</v>
      </c>
      <c r="E101" s="20">
        <f t="shared" ref="E101:M101" si="60">E41*$F$72/2000</f>
        <v>0</v>
      </c>
      <c r="F101" s="20">
        <f t="shared" si="60"/>
        <v>68463.878551062109</v>
      </c>
      <c r="G101" s="20">
        <f t="shared" si="60"/>
        <v>197629.51971407066</v>
      </c>
      <c r="H101" s="20">
        <f t="shared" si="60"/>
        <v>238812.48210350785</v>
      </c>
      <c r="I101" s="20">
        <f t="shared" si="60"/>
        <v>283260.6533434217</v>
      </c>
      <c r="J101" s="20">
        <f t="shared" si="60"/>
        <v>375600.95695798384</v>
      </c>
      <c r="K101" s="20">
        <f t="shared" si="60"/>
        <v>312064.05811968062</v>
      </c>
      <c r="L101" s="20">
        <f t="shared" si="60"/>
        <v>253358.1931490314</v>
      </c>
      <c r="M101" s="20">
        <f t="shared" si="60"/>
        <v>190705.04500263155</v>
      </c>
      <c r="N101" s="5">
        <f t="shared" si="28"/>
        <v>88698</v>
      </c>
      <c r="O101" s="9">
        <f t="shared" si="29"/>
        <v>299225</v>
      </c>
      <c r="P101" s="9">
        <f t="shared" si="30"/>
        <v>282712</v>
      </c>
      <c r="Q101" s="9">
        <f t="shared" si="31"/>
        <v>216149</v>
      </c>
      <c r="R101" s="6">
        <f t="shared" si="32"/>
        <v>190706</v>
      </c>
      <c r="S101" s="41">
        <f t="shared" si="33"/>
        <v>266094</v>
      </c>
      <c r="T101" s="14">
        <f t="shared" si="34"/>
        <v>897675</v>
      </c>
      <c r="U101" s="14">
        <f t="shared" si="35"/>
        <v>565424</v>
      </c>
      <c r="V101" s="14">
        <f t="shared" si="36"/>
        <v>1729192</v>
      </c>
      <c r="W101" s="185">
        <f t="shared" si="37"/>
        <v>381412</v>
      </c>
    </row>
    <row r="102" spans="4:23" x14ac:dyDescent="0.25">
      <c r="D102" s="8" t="s">
        <v>26</v>
      </c>
      <c r="E102" s="20">
        <f t="shared" ref="E102:M102" si="61">E42*$F$72/2000</f>
        <v>103501.75168424386</v>
      </c>
      <c r="F102" s="20">
        <f t="shared" si="61"/>
        <v>378213.16886010516</v>
      </c>
      <c r="G102" s="20">
        <f t="shared" si="61"/>
        <v>620929.87576921692</v>
      </c>
      <c r="H102" s="20">
        <f t="shared" si="61"/>
        <v>765585.19241005857</v>
      </c>
      <c r="I102" s="20">
        <f t="shared" si="61"/>
        <v>894464.5243629386</v>
      </c>
      <c r="J102" s="20">
        <f t="shared" si="61"/>
        <v>1094124.1938952419</v>
      </c>
      <c r="K102" s="20">
        <f t="shared" si="61"/>
        <v>1129552.2698373622</v>
      </c>
      <c r="L102" s="20">
        <f t="shared" si="61"/>
        <v>1176957.9588287866</v>
      </c>
      <c r="M102" s="20">
        <f t="shared" si="61"/>
        <v>1194522.911911187</v>
      </c>
      <c r="N102" s="5">
        <f t="shared" si="28"/>
        <v>367549</v>
      </c>
      <c r="O102" s="9">
        <f t="shared" si="29"/>
        <v>918058</v>
      </c>
      <c r="P102" s="9">
        <f t="shared" si="30"/>
        <v>1153256</v>
      </c>
      <c r="Q102" s="9">
        <f t="shared" si="31"/>
        <v>770417</v>
      </c>
      <c r="R102" s="6">
        <f t="shared" si="32"/>
        <v>1194523</v>
      </c>
      <c r="S102" s="41">
        <f t="shared" si="33"/>
        <v>1102647</v>
      </c>
      <c r="T102" s="14">
        <f t="shared" si="34"/>
        <v>2754174</v>
      </c>
      <c r="U102" s="14">
        <f t="shared" si="35"/>
        <v>2306512</v>
      </c>
      <c r="V102" s="14">
        <f t="shared" si="36"/>
        <v>6163336</v>
      </c>
      <c r="W102" s="185">
        <f t="shared" si="37"/>
        <v>2389046</v>
      </c>
    </row>
    <row r="103" spans="4:23" x14ac:dyDescent="0.25">
      <c r="D103" s="8" t="s">
        <v>27</v>
      </c>
      <c r="E103" s="20">
        <f t="shared" ref="E103:M103" si="62">E43*$F$72/2000</f>
        <v>0</v>
      </c>
      <c r="F103" s="20">
        <f t="shared" si="62"/>
        <v>22621.416736348758</v>
      </c>
      <c r="G103" s="20">
        <f t="shared" si="62"/>
        <v>65299.539252981602</v>
      </c>
      <c r="H103" s="20">
        <f t="shared" si="62"/>
        <v>78906.962238140302</v>
      </c>
      <c r="I103" s="20">
        <f t="shared" si="62"/>
        <v>93593.255595545823</v>
      </c>
      <c r="J103" s="20">
        <f t="shared" si="62"/>
        <v>124103.77492097451</v>
      </c>
      <c r="K103" s="20">
        <f t="shared" si="62"/>
        <v>103110.30073904485</v>
      </c>
      <c r="L103" s="20">
        <f t="shared" si="62"/>
        <v>83713.067271203676</v>
      </c>
      <c r="M103" s="20">
        <f t="shared" si="62"/>
        <v>63011.596597045958</v>
      </c>
      <c r="N103" s="5">
        <f t="shared" si="28"/>
        <v>29307</v>
      </c>
      <c r="O103" s="9">
        <f t="shared" si="29"/>
        <v>98868</v>
      </c>
      <c r="P103" s="9">
        <f t="shared" si="30"/>
        <v>93412</v>
      </c>
      <c r="Q103" s="9">
        <f t="shared" si="31"/>
        <v>71419</v>
      </c>
      <c r="R103" s="6">
        <f t="shared" si="32"/>
        <v>63012</v>
      </c>
      <c r="S103" s="41">
        <f t="shared" si="33"/>
        <v>87921</v>
      </c>
      <c r="T103" s="14">
        <f t="shared" si="34"/>
        <v>296604</v>
      </c>
      <c r="U103" s="14">
        <f t="shared" si="35"/>
        <v>186824</v>
      </c>
      <c r="V103" s="14">
        <f t="shared" si="36"/>
        <v>571352</v>
      </c>
      <c r="W103" s="185">
        <f t="shared" si="37"/>
        <v>126024</v>
      </c>
    </row>
    <row r="104" spans="4:23" x14ac:dyDescent="0.25">
      <c r="D104" s="8" t="s">
        <v>28</v>
      </c>
      <c r="E104" s="20">
        <f t="shared" ref="E104:M104" si="63">E44*$F$72/2000</f>
        <v>0</v>
      </c>
      <c r="F104" s="20">
        <f t="shared" si="63"/>
        <v>99307.32123210968</v>
      </c>
      <c r="G104" s="20">
        <f t="shared" si="63"/>
        <v>286662.96176245919</v>
      </c>
      <c r="H104" s="20">
        <f t="shared" si="63"/>
        <v>346399.12865588872</v>
      </c>
      <c r="I104" s="20">
        <f t="shared" si="63"/>
        <v>410871.50318269629</v>
      </c>
      <c r="J104" s="20">
        <f t="shared" si="63"/>
        <v>544811.74127310177</v>
      </c>
      <c r="K104" s="20">
        <f t="shared" si="63"/>
        <v>452651.0376062548</v>
      </c>
      <c r="L104" s="20">
        <f t="shared" si="63"/>
        <v>367497.78140413924</v>
      </c>
      <c r="M104" s="20">
        <f t="shared" si="63"/>
        <v>276618.96412332996</v>
      </c>
      <c r="N104" s="5">
        <f t="shared" si="28"/>
        <v>128657</v>
      </c>
      <c r="O104" s="9">
        <f t="shared" si="29"/>
        <v>434028</v>
      </c>
      <c r="P104" s="9">
        <f t="shared" si="30"/>
        <v>410075</v>
      </c>
      <c r="Q104" s="9">
        <f t="shared" si="31"/>
        <v>313526</v>
      </c>
      <c r="R104" s="6">
        <f t="shared" si="32"/>
        <v>276619</v>
      </c>
      <c r="S104" s="41">
        <f t="shared" si="33"/>
        <v>385971</v>
      </c>
      <c r="T104" s="14">
        <f t="shared" si="34"/>
        <v>1302084</v>
      </c>
      <c r="U104" s="14">
        <f t="shared" si="35"/>
        <v>820150</v>
      </c>
      <c r="V104" s="14">
        <f t="shared" si="36"/>
        <v>2508208</v>
      </c>
      <c r="W104" s="185">
        <f t="shared" si="37"/>
        <v>553238</v>
      </c>
    </row>
    <row r="105" spans="4:23" x14ac:dyDescent="0.25">
      <c r="D105" s="8" t="s">
        <v>29</v>
      </c>
      <c r="E105" s="20">
        <f t="shared" ref="E105:M105" si="64">E45*$F$72/2000</f>
        <v>70818.521153077309</v>
      </c>
      <c r="F105" s="20">
        <f t="shared" si="64"/>
        <v>258783.03375003827</v>
      </c>
      <c r="G105" s="20">
        <f t="shared" si="64"/>
        <v>424855.9548623953</v>
      </c>
      <c r="H105" s="20">
        <f t="shared" si="64"/>
        <v>523832.78795684461</v>
      </c>
      <c r="I105" s="20">
        <f t="shared" si="64"/>
        <v>612015.29257709172</v>
      </c>
      <c r="J105" s="20">
        <f t="shared" si="64"/>
        <v>748627.49768571614</v>
      </c>
      <c r="K105" s="20">
        <f t="shared" si="64"/>
        <v>772868.28496411955</v>
      </c>
      <c r="L105" s="20">
        <f t="shared" si="64"/>
        <v>805304.45859388891</v>
      </c>
      <c r="M105" s="20">
        <f t="shared" si="64"/>
        <v>817322.84457457892</v>
      </c>
      <c r="N105" s="5">
        <f t="shared" si="28"/>
        <v>251486</v>
      </c>
      <c r="O105" s="9">
        <f t="shared" si="29"/>
        <v>628159</v>
      </c>
      <c r="P105" s="9">
        <f t="shared" si="30"/>
        <v>789087</v>
      </c>
      <c r="Q105" s="9">
        <f t="shared" si="31"/>
        <v>527139</v>
      </c>
      <c r="R105" s="6">
        <f t="shared" si="32"/>
        <v>817323</v>
      </c>
      <c r="S105" s="41">
        <f t="shared" si="33"/>
        <v>754458</v>
      </c>
      <c r="T105" s="14">
        <f t="shared" si="34"/>
        <v>1884477</v>
      </c>
      <c r="U105" s="14">
        <f t="shared" si="35"/>
        <v>1578174</v>
      </c>
      <c r="V105" s="14">
        <f t="shared" si="36"/>
        <v>4217112</v>
      </c>
      <c r="W105" s="185">
        <f t="shared" si="37"/>
        <v>1634646</v>
      </c>
    </row>
    <row r="106" spans="4:23" x14ac:dyDescent="0.25">
      <c r="D106" s="8" t="s">
        <v>30</v>
      </c>
      <c r="E106" s="20">
        <f t="shared" ref="E106:M106" si="65">E46*$F$72/2000</f>
        <v>0</v>
      </c>
      <c r="F106" s="20">
        <f t="shared" si="65"/>
        <v>165412.17063111527</v>
      </c>
      <c r="G106" s="20">
        <f t="shared" si="65"/>
        <v>477482.84976738406</v>
      </c>
      <c r="H106" s="20">
        <f t="shared" si="65"/>
        <v>576982.95618884114</v>
      </c>
      <c r="I106" s="20">
        <f t="shared" si="65"/>
        <v>684371.97125748277</v>
      </c>
      <c r="J106" s="20">
        <f t="shared" si="65"/>
        <v>907470.78454234579</v>
      </c>
      <c r="K106" s="20">
        <f t="shared" si="65"/>
        <v>753962.4444594091</v>
      </c>
      <c r="L106" s="20">
        <f t="shared" si="65"/>
        <v>612126.12494196044</v>
      </c>
      <c r="M106" s="20">
        <f t="shared" si="65"/>
        <v>460752.97093580215</v>
      </c>
      <c r="N106" s="5">
        <f t="shared" si="28"/>
        <v>214299</v>
      </c>
      <c r="O106" s="9">
        <f t="shared" si="29"/>
        <v>722942</v>
      </c>
      <c r="P106" s="9">
        <f t="shared" si="30"/>
        <v>683045</v>
      </c>
      <c r="Q106" s="9">
        <f t="shared" si="31"/>
        <v>522227</v>
      </c>
      <c r="R106" s="6">
        <f t="shared" si="32"/>
        <v>460753</v>
      </c>
      <c r="S106" s="41">
        <f t="shared" si="33"/>
        <v>642897</v>
      </c>
      <c r="T106" s="14">
        <f t="shared" si="34"/>
        <v>2168826</v>
      </c>
      <c r="U106" s="14">
        <f t="shared" si="35"/>
        <v>1366090</v>
      </c>
      <c r="V106" s="14">
        <f t="shared" si="36"/>
        <v>4177816</v>
      </c>
      <c r="W106" s="185">
        <f t="shared" si="37"/>
        <v>921506</v>
      </c>
    </row>
    <row r="107" spans="4:23" x14ac:dyDescent="0.25">
      <c r="D107" s="8" t="s">
        <v>31</v>
      </c>
      <c r="E107" s="20">
        <f t="shared" ref="E107:M107" si="66">E47*$F$72/2000</f>
        <v>0</v>
      </c>
      <c r="F107" s="20">
        <f t="shared" si="66"/>
        <v>219215.8886970366</v>
      </c>
      <c r="G107" s="20">
        <f t="shared" si="66"/>
        <v>632793.98879770911</v>
      </c>
      <c r="H107" s="20">
        <f t="shared" si="66"/>
        <v>764658.55578457389</v>
      </c>
      <c r="I107" s="20">
        <f t="shared" si="66"/>
        <v>906978.06156671641</v>
      </c>
      <c r="J107" s="20">
        <f t="shared" si="66"/>
        <v>1202644.3625099661</v>
      </c>
      <c r="K107" s="20">
        <f t="shared" si="66"/>
        <v>999204.27061531425</v>
      </c>
      <c r="L107" s="20">
        <f t="shared" si="66"/>
        <v>811232.76456529007</v>
      </c>
      <c r="M107" s="20">
        <f t="shared" si="66"/>
        <v>610622.37203053827</v>
      </c>
      <c r="N107" s="5">
        <f t="shared" si="28"/>
        <v>284004</v>
      </c>
      <c r="O107" s="9">
        <f t="shared" si="29"/>
        <v>958094</v>
      </c>
      <c r="P107" s="9">
        <f t="shared" si="30"/>
        <v>905219</v>
      </c>
      <c r="Q107" s="9">
        <f t="shared" si="31"/>
        <v>692091</v>
      </c>
      <c r="R107" s="6">
        <f t="shared" si="32"/>
        <v>610623</v>
      </c>
      <c r="S107" s="41">
        <f t="shared" si="33"/>
        <v>852012</v>
      </c>
      <c r="T107" s="14">
        <f t="shared" si="34"/>
        <v>2874282</v>
      </c>
      <c r="U107" s="14">
        <f t="shared" si="35"/>
        <v>1810438</v>
      </c>
      <c r="V107" s="14">
        <f t="shared" si="36"/>
        <v>5536728</v>
      </c>
      <c r="W107" s="185">
        <f t="shared" si="37"/>
        <v>1221246</v>
      </c>
    </row>
    <row r="108" spans="4:23" x14ac:dyDescent="0.25">
      <c r="D108" s="8" t="s">
        <v>32</v>
      </c>
      <c r="E108" s="20">
        <f t="shared" ref="E108:M108" si="67">E48*$F$72/2000</f>
        <v>0</v>
      </c>
      <c r="F108" s="20">
        <f t="shared" si="67"/>
        <v>77704.908214209776</v>
      </c>
      <c r="G108" s="20">
        <f t="shared" si="67"/>
        <v>224304.90376537378</v>
      </c>
      <c r="H108" s="20">
        <f t="shared" si="67"/>
        <v>271046.60727657267</v>
      </c>
      <c r="I108" s="20">
        <f t="shared" si="67"/>
        <v>321494.24681412854</v>
      </c>
      <c r="J108" s="20">
        <f t="shared" si="67"/>
        <v>426298.34159661003</v>
      </c>
      <c r="K108" s="20">
        <f t="shared" si="67"/>
        <v>354185.44064894255</v>
      </c>
      <c r="L108" s="20">
        <f t="shared" si="67"/>
        <v>287555.65066738555</v>
      </c>
      <c r="M108" s="20">
        <f t="shared" si="67"/>
        <v>216445.78617999348</v>
      </c>
      <c r="N108" s="5">
        <f t="shared" si="28"/>
        <v>100670</v>
      </c>
      <c r="O108" s="9">
        <f t="shared" si="29"/>
        <v>339614</v>
      </c>
      <c r="P108" s="9">
        <f t="shared" si="30"/>
        <v>320871</v>
      </c>
      <c r="Q108" s="9">
        <f t="shared" si="31"/>
        <v>245324</v>
      </c>
      <c r="R108" s="6">
        <f t="shared" si="32"/>
        <v>216446</v>
      </c>
      <c r="S108" s="41">
        <f t="shared" si="33"/>
        <v>302010</v>
      </c>
      <c r="T108" s="14">
        <f t="shared" si="34"/>
        <v>1018842</v>
      </c>
      <c r="U108" s="14">
        <f t="shared" si="35"/>
        <v>641742</v>
      </c>
      <c r="V108" s="14">
        <f t="shared" si="36"/>
        <v>1962592</v>
      </c>
      <c r="W108" s="185">
        <f t="shared" si="37"/>
        <v>432892</v>
      </c>
    </row>
    <row r="109" spans="4:23" x14ac:dyDescent="0.25">
      <c r="D109" s="8" t="s">
        <v>33</v>
      </c>
      <c r="E109" s="20">
        <f t="shared" ref="E109:M109" si="68">E49*$F$72/2000</f>
        <v>0</v>
      </c>
      <c r="F109" s="20">
        <f t="shared" si="68"/>
        <v>300906.14092965494</v>
      </c>
      <c r="G109" s="20">
        <f t="shared" si="68"/>
        <v>868603.08486013499</v>
      </c>
      <c r="H109" s="20">
        <f t="shared" si="68"/>
        <v>1049606.6526818767</v>
      </c>
      <c r="I109" s="20">
        <f t="shared" si="68"/>
        <v>1244961.1660725803</v>
      </c>
      <c r="J109" s="20">
        <f t="shared" si="68"/>
        <v>1650806.7740190718</v>
      </c>
      <c r="K109" s="20">
        <f t="shared" si="68"/>
        <v>1371555.2410838977</v>
      </c>
      <c r="L109" s="20">
        <f t="shared" si="68"/>
        <v>1113536.6237909773</v>
      </c>
      <c r="M109" s="20">
        <f t="shared" si="68"/>
        <v>838169.27059952286</v>
      </c>
      <c r="N109" s="5">
        <f t="shared" si="28"/>
        <v>389837</v>
      </c>
      <c r="O109" s="9">
        <f t="shared" si="29"/>
        <v>1315125</v>
      </c>
      <c r="P109" s="9">
        <f t="shared" si="30"/>
        <v>1242546</v>
      </c>
      <c r="Q109" s="9">
        <f t="shared" si="31"/>
        <v>949997</v>
      </c>
      <c r="R109" s="6">
        <f t="shared" si="32"/>
        <v>838170</v>
      </c>
      <c r="S109" s="41">
        <f t="shared" si="33"/>
        <v>1169511</v>
      </c>
      <c r="T109" s="14">
        <f t="shared" si="34"/>
        <v>3945375</v>
      </c>
      <c r="U109" s="14">
        <f t="shared" si="35"/>
        <v>2485092</v>
      </c>
      <c r="V109" s="14">
        <f t="shared" si="36"/>
        <v>7599976</v>
      </c>
      <c r="W109" s="185">
        <f t="shared" si="37"/>
        <v>1676340</v>
      </c>
    </row>
    <row r="110" spans="4:23" x14ac:dyDescent="0.25">
      <c r="D110" s="8" t="s">
        <v>34</v>
      </c>
      <c r="E110" s="20">
        <f t="shared" ref="E110:M110" si="69">E50*$F$72/2000</f>
        <v>0</v>
      </c>
      <c r="F110" s="20">
        <f t="shared" si="69"/>
        <v>184044.54833030218</v>
      </c>
      <c r="G110" s="20">
        <f t="shared" si="69"/>
        <v>531267.53059108451</v>
      </c>
      <c r="H110" s="20">
        <f t="shared" si="69"/>
        <v>641975.54001556966</v>
      </c>
      <c r="I110" s="20">
        <f t="shared" si="69"/>
        <v>761461.08148772991</v>
      </c>
      <c r="J110" s="20">
        <f t="shared" si="69"/>
        <v>1009690.2182397465</v>
      </c>
      <c r="K110" s="20">
        <f t="shared" si="69"/>
        <v>838890.37317572173</v>
      </c>
      <c r="L110" s="20">
        <f t="shared" si="69"/>
        <v>681077.30982722086</v>
      </c>
      <c r="M110" s="20">
        <f t="shared" si="69"/>
        <v>512653.16272787732</v>
      </c>
      <c r="N110" s="5">
        <f t="shared" si="28"/>
        <v>238438</v>
      </c>
      <c r="O110" s="9">
        <f t="shared" si="29"/>
        <v>804376</v>
      </c>
      <c r="P110" s="9">
        <f t="shared" si="30"/>
        <v>759984</v>
      </c>
      <c r="Q110" s="9">
        <f t="shared" si="31"/>
        <v>581051</v>
      </c>
      <c r="R110" s="6">
        <f t="shared" si="32"/>
        <v>512654</v>
      </c>
      <c r="S110" s="41">
        <f t="shared" si="33"/>
        <v>715314</v>
      </c>
      <c r="T110" s="14">
        <f t="shared" si="34"/>
        <v>2413128</v>
      </c>
      <c r="U110" s="14">
        <f t="shared" si="35"/>
        <v>1519968</v>
      </c>
      <c r="V110" s="14">
        <f t="shared" si="36"/>
        <v>4648408</v>
      </c>
      <c r="W110" s="185">
        <f t="shared" si="37"/>
        <v>1025308</v>
      </c>
    </row>
    <row r="111" spans="4:23" x14ac:dyDescent="0.25">
      <c r="D111" s="8" t="s">
        <v>35</v>
      </c>
      <c r="E111" s="20">
        <f t="shared" ref="E111:M111" si="70">E51*$F$72/2000</f>
        <v>60947.344621340271</v>
      </c>
      <c r="F111" s="20">
        <f t="shared" si="70"/>
        <v>222712.06011245778</v>
      </c>
      <c r="G111" s="20">
        <f t="shared" si="70"/>
        <v>365636.58593570924</v>
      </c>
      <c r="H111" s="20">
        <f t="shared" si="70"/>
        <v>450817.34173117473</v>
      </c>
      <c r="I111" s="20">
        <f t="shared" si="70"/>
        <v>526708.35740270989</v>
      </c>
      <c r="J111" s="20">
        <f t="shared" si="70"/>
        <v>644278.60609851661</v>
      </c>
      <c r="K111" s="20">
        <f t="shared" si="70"/>
        <v>665140.54436119192</v>
      </c>
      <c r="L111" s="20">
        <f t="shared" si="70"/>
        <v>693055.53919902549</v>
      </c>
      <c r="M111" s="20">
        <f t="shared" si="70"/>
        <v>703398.71920661279</v>
      </c>
      <c r="N111" s="5">
        <f t="shared" si="28"/>
        <v>216432</v>
      </c>
      <c r="O111" s="9">
        <f t="shared" si="29"/>
        <v>540602</v>
      </c>
      <c r="P111" s="9">
        <f t="shared" si="30"/>
        <v>679099</v>
      </c>
      <c r="Q111" s="9">
        <f t="shared" si="31"/>
        <v>453663</v>
      </c>
      <c r="R111" s="6">
        <f t="shared" si="32"/>
        <v>703399</v>
      </c>
      <c r="S111" s="41">
        <f t="shared" si="33"/>
        <v>649296</v>
      </c>
      <c r="T111" s="14">
        <f t="shared" si="34"/>
        <v>1621806</v>
      </c>
      <c r="U111" s="14">
        <f t="shared" si="35"/>
        <v>1358198</v>
      </c>
      <c r="V111" s="14">
        <f t="shared" si="36"/>
        <v>3629304</v>
      </c>
      <c r="W111" s="185">
        <f t="shared" si="37"/>
        <v>1406798</v>
      </c>
    </row>
    <row r="112" spans="4:23" x14ac:dyDescent="0.25">
      <c r="D112" s="8" t="s">
        <v>36</v>
      </c>
      <c r="E112" s="20">
        <f t="shared" ref="E112:M112" si="71">E52*$F$72/2000</f>
        <v>0</v>
      </c>
      <c r="F112" s="20">
        <f t="shared" si="71"/>
        <v>398253.78464220435</v>
      </c>
      <c r="G112" s="20">
        <f t="shared" si="71"/>
        <v>1149609.1931813112</v>
      </c>
      <c r="H112" s="20">
        <f t="shared" si="71"/>
        <v>1389170.1263548303</v>
      </c>
      <c r="I112" s="20">
        <f t="shared" si="71"/>
        <v>1647724.7509444689</v>
      </c>
      <c r="J112" s="20">
        <f t="shared" si="71"/>
        <v>2184867.4920189753</v>
      </c>
      <c r="K112" s="20">
        <f t="shared" si="71"/>
        <v>1815273.9054109524</v>
      </c>
      <c r="L112" s="20">
        <f t="shared" si="71"/>
        <v>1473782.4006926215</v>
      </c>
      <c r="M112" s="20">
        <f t="shared" si="71"/>
        <v>1109329.5841545875</v>
      </c>
      <c r="N112" s="5">
        <f t="shared" si="28"/>
        <v>515955</v>
      </c>
      <c r="O112" s="9">
        <f t="shared" si="29"/>
        <v>1740588</v>
      </c>
      <c r="P112" s="9">
        <f t="shared" si="30"/>
        <v>1644529</v>
      </c>
      <c r="Q112" s="9">
        <f t="shared" si="31"/>
        <v>1257336</v>
      </c>
      <c r="R112" s="6">
        <f t="shared" si="32"/>
        <v>1109330</v>
      </c>
      <c r="S112" s="41">
        <f t="shared" si="33"/>
        <v>1547865</v>
      </c>
      <c r="T112" s="14">
        <f t="shared" si="34"/>
        <v>5221764</v>
      </c>
      <c r="U112" s="14">
        <f t="shared" si="35"/>
        <v>3289058</v>
      </c>
      <c r="V112" s="14">
        <f t="shared" si="36"/>
        <v>10058688</v>
      </c>
      <c r="W112" s="185">
        <f t="shared" si="37"/>
        <v>2218660</v>
      </c>
    </row>
    <row r="113" spans="4:23" x14ac:dyDescent="0.25">
      <c r="D113" s="8" t="s">
        <v>37</v>
      </c>
      <c r="E113" s="20">
        <f t="shared" ref="E113:M113" si="72">E53*$F$72/2000</f>
        <v>0</v>
      </c>
      <c r="F113" s="20">
        <f t="shared" si="72"/>
        <v>22183.186073309338</v>
      </c>
      <c r="G113" s="20">
        <f t="shared" si="72"/>
        <v>64034.531817040537</v>
      </c>
      <c r="H113" s="20">
        <f t="shared" si="72"/>
        <v>77378.346644207006</v>
      </c>
      <c r="I113" s="20">
        <f t="shared" si="72"/>
        <v>91780.13155766236</v>
      </c>
      <c r="J113" s="20">
        <f t="shared" si="72"/>
        <v>121699.58953315465</v>
      </c>
      <c r="K113" s="20">
        <f t="shared" si="72"/>
        <v>101112.80889378571</v>
      </c>
      <c r="L113" s="20">
        <f t="shared" si="72"/>
        <v>82091.34598809875</v>
      </c>
      <c r="M113" s="20">
        <f t="shared" si="72"/>
        <v>61790.912053821688</v>
      </c>
      <c r="N113" s="5">
        <f t="shared" si="28"/>
        <v>28740</v>
      </c>
      <c r="O113" s="9">
        <f t="shared" si="29"/>
        <v>96953</v>
      </c>
      <c r="P113" s="9">
        <f t="shared" si="30"/>
        <v>91603</v>
      </c>
      <c r="Q113" s="9">
        <f t="shared" si="31"/>
        <v>70035</v>
      </c>
      <c r="R113" s="6">
        <f t="shared" si="32"/>
        <v>61791</v>
      </c>
      <c r="S113" s="41">
        <f t="shared" si="33"/>
        <v>86220</v>
      </c>
      <c r="T113" s="14">
        <f t="shared" si="34"/>
        <v>290859</v>
      </c>
      <c r="U113" s="14">
        <f t="shared" si="35"/>
        <v>183206</v>
      </c>
      <c r="V113" s="14">
        <f t="shared" si="36"/>
        <v>560280</v>
      </c>
      <c r="W113" s="185">
        <f t="shared" si="37"/>
        <v>123582</v>
      </c>
    </row>
    <row r="114" spans="4:23" x14ac:dyDescent="0.25">
      <c r="D114" s="8" t="s">
        <v>38</v>
      </c>
      <c r="E114" s="20">
        <f t="shared" ref="E114:M114" si="73">E54*$F$72/2000</f>
        <v>0</v>
      </c>
      <c r="F114" s="20">
        <f t="shared" si="73"/>
        <v>109240.2142492264</v>
      </c>
      <c r="G114" s="20">
        <f t="shared" si="73"/>
        <v>315335.49562832748</v>
      </c>
      <c r="H114" s="20">
        <f t="shared" si="73"/>
        <v>381046.5790499979</v>
      </c>
      <c r="I114" s="20">
        <f t="shared" si="73"/>
        <v>451967.5939266691</v>
      </c>
      <c r="J114" s="20">
        <f t="shared" si="73"/>
        <v>599304.77032064227</v>
      </c>
      <c r="K114" s="20">
        <f t="shared" si="73"/>
        <v>497925.99090119911</v>
      </c>
      <c r="L114" s="20">
        <f t="shared" si="73"/>
        <v>404255.5561726602</v>
      </c>
      <c r="M114" s="20">
        <f t="shared" si="73"/>
        <v>304286.87967127515</v>
      </c>
      <c r="N114" s="5">
        <f t="shared" si="28"/>
        <v>141526</v>
      </c>
      <c r="O114" s="9">
        <f t="shared" si="29"/>
        <v>477440</v>
      </c>
      <c r="P114" s="9">
        <f t="shared" si="30"/>
        <v>451091</v>
      </c>
      <c r="Q114" s="9">
        <f t="shared" si="31"/>
        <v>344885</v>
      </c>
      <c r="R114" s="6">
        <f t="shared" si="32"/>
        <v>304287</v>
      </c>
      <c r="S114" s="41">
        <f t="shared" si="33"/>
        <v>424578</v>
      </c>
      <c r="T114" s="14">
        <f t="shared" si="34"/>
        <v>1432320</v>
      </c>
      <c r="U114" s="14">
        <f t="shared" si="35"/>
        <v>902182</v>
      </c>
      <c r="V114" s="14">
        <f t="shared" si="36"/>
        <v>2759080</v>
      </c>
      <c r="W114" s="185">
        <f t="shared" si="37"/>
        <v>608574</v>
      </c>
    </row>
    <row r="115" spans="4:23" x14ac:dyDescent="0.25">
      <c r="D115" s="8" t="s">
        <v>39</v>
      </c>
      <c r="E115" s="20">
        <f t="shared" ref="E115:M115" si="74">E55*$F$72/2000</f>
        <v>0</v>
      </c>
      <c r="F115" s="20">
        <f t="shared" si="74"/>
        <v>14732.501646917321</v>
      </c>
      <c r="G115" s="20">
        <f t="shared" si="74"/>
        <v>42527.202464807728</v>
      </c>
      <c r="H115" s="20">
        <f t="shared" si="74"/>
        <v>51389.219546922119</v>
      </c>
      <c r="I115" s="20">
        <f t="shared" si="74"/>
        <v>60953.865457336069</v>
      </c>
      <c r="J115" s="20">
        <f t="shared" si="74"/>
        <v>80824.251182908978</v>
      </c>
      <c r="K115" s="20">
        <f t="shared" si="74"/>
        <v>67151.969001624355</v>
      </c>
      <c r="L115" s="20">
        <f t="shared" si="74"/>
        <v>54519.260036432701</v>
      </c>
      <c r="M115" s="20">
        <f t="shared" si="74"/>
        <v>41037.149063666729</v>
      </c>
      <c r="N115" s="5">
        <f t="shared" si="28"/>
        <v>19087</v>
      </c>
      <c r="O115" s="9">
        <f t="shared" si="29"/>
        <v>64390</v>
      </c>
      <c r="P115" s="9">
        <f t="shared" si="30"/>
        <v>60836</v>
      </c>
      <c r="Q115" s="9">
        <f t="shared" si="31"/>
        <v>46513</v>
      </c>
      <c r="R115" s="6">
        <f t="shared" si="32"/>
        <v>41038</v>
      </c>
      <c r="S115" s="41">
        <f t="shared" si="33"/>
        <v>57261</v>
      </c>
      <c r="T115" s="14">
        <f t="shared" si="34"/>
        <v>193170</v>
      </c>
      <c r="U115" s="14">
        <f t="shared" si="35"/>
        <v>121672</v>
      </c>
      <c r="V115" s="14">
        <f t="shared" si="36"/>
        <v>372104</v>
      </c>
      <c r="W115" s="185">
        <f t="shared" si="37"/>
        <v>82076</v>
      </c>
    </row>
    <row r="116" spans="4:23" x14ac:dyDescent="0.25">
      <c r="D116" s="8" t="s">
        <v>40</v>
      </c>
      <c r="E116" s="20">
        <f t="shared" ref="E116:M116" si="75">E56*$F$72/2000</f>
        <v>0</v>
      </c>
      <c r="F116" s="20">
        <f t="shared" si="75"/>
        <v>113659.80792929161</v>
      </c>
      <c r="G116" s="20">
        <f t="shared" si="75"/>
        <v>328093.20370458259</v>
      </c>
      <c r="H116" s="20">
        <f t="shared" si="75"/>
        <v>396462.79792281805</v>
      </c>
      <c r="I116" s="20">
        <f t="shared" si="75"/>
        <v>470253.10476570285</v>
      </c>
      <c r="J116" s="20">
        <f t="shared" si="75"/>
        <v>623551.18537525926</v>
      </c>
      <c r="K116" s="20">
        <f t="shared" si="75"/>
        <v>518070.86683037406</v>
      </c>
      <c r="L116" s="20">
        <f t="shared" si="75"/>
        <v>420610.75387591438</v>
      </c>
      <c r="M116" s="20">
        <f t="shared" si="75"/>
        <v>316597.587587444</v>
      </c>
      <c r="N116" s="5">
        <f t="shared" si="28"/>
        <v>147252</v>
      </c>
      <c r="O116" s="9">
        <f t="shared" si="29"/>
        <v>496756</v>
      </c>
      <c r="P116" s="9">
        <f t="shared" si="30"/>
        <v>469341</v>
      </c>
      <c r="Q116" s="9">
        <f t="shared" si="31"/>
        <v>358838</v>
      </c>
      <c r="R116" s="6">
        <f t="shared" si="32"/>
        <v>316598</v>
      </c>
      <c r="S116" s="41">
        <f t="shared" si="33"/>
        <v>441756</v>
      </c>
      <c r="T116" s="14">
        <f t="shared" si="34"/>
        <v>1490268</v>
      </c>
      <c r="U116" s="14">
        <f t="shared" si="35"/>
        <v>938682</v>
      </c>
      <c r="V116" s="14">
        <f t="shared" si="36"/>
        <v>2870704</v>
      </c>
      <c r="W116" s="185">
        <f t="shared" si="37"/>
        <v>633196</v>
      </c>
    </row>
    <row r="117" spans="4:23" x14ac:dyDescent="0.25">
      <c r="D117" s="8" t="s">
        <v>41</v>
      </c>
      <c r="E117" s="20">
        <f t="shared" ref="E117:M117" si="76">E57*$F$72/2000</f>
        <v>0</v>
      </c>
      <c r="F117" s="20">
        <f t="shared" si="76"/>
        <v>1989885.4961504971</v>
      </c>
      <c r="G117" s="20">
        <f t="shared" si="76"/>
        <v>4188364.3469673041</v>
      </c>
      <c r="H117" s="20">
        <f t="shared" si="76"/>
        <v>5205070.1763746105</v>
      </c>
      <c r="I117" s="20">
        <f t="shared" si="76"/>
        <v>6547566.8383231163</v>
      </c>
      <c r="J117" s="20">
        <f t="shared" si="76"/>
        <v>8211692.6600537524</v>
      </c>
      <c r="K117" s="20">
        <f t="shared" si="76"/>
        <v>8144293.5705289356</v>
      </c>
      <c r="L117" s="20">
        <f t="shared" si="76"/>
        <v>8343188.982672954</v>
      </c>
      <c r="M117" s="20">
        <f t="shared" si="76"/>
        <v>8516407.4445871282</v>
      </c>
      <c r="N117" s="5">
        <f t="shared" si="28"/>
        <v>2059417</v>
      </c>
      <c r="O117" s="9">
        <f t="shared" si="29"/>
        <v>6654777</v>
      </c>
      <c r="P117" s="9">
        <f t="shared" si="30"/>
        <v>8243742</v>
      </c>
      <c r="Q117" s="9">
        <f t="shared" si="31"/>
        <v>5328758</v>
      </c>
      <c r="R117" s="6">
        <f t="shared" si="32"/>
        <v>8516408</v>
      </c>
      <c r="S117" s="41">
        <f t="shared" si="33"/>
        <v>6178251</v>
      </c>
      <c r="T117" s="14">
        <f t="shared" si="34"/>
        <v>19964331</v>
      </c>
      <c r="U117" s="14">
        <f t="shared" si="35"/>
        <v>16487484</v>
      </c>
      <c r="V117" s="14">
        <f t="shared" si="36"/>
        <v>42630064</v>
      </c>
      <c r="W117" s="185">
        <f t="shared" si="37"/>
        <v>17032816</v>
      </c>
    </row>
    <row r="118" spans="4:23" x14ac:dyDescent="0.25">
      <c r="D118" s="8" t="s">
        <v>42</v>
      </c>
      <c r="E118" s="20">
        <f t="shared" ref="E118:M118" si="77">E58*$F$72/2000</f>
        <v>131919.92203461772</v>
      </c>
      <c r="F118" s="20">
        <f t="shared" si="77"/>
        <v>482058.041884195</v>
      </c>
      <c r="G118" s="20">
        <f t="shared" si="77"/>
        <v>791416.75833984592</v>
      </c>
      <c r="H118" s="20">
        <f t="shared" si="77"/>
        <v>975789.65814708441</v>
      </c>
      <c r="I118" s="20">
        <f t="shared" si="77"/>
        <v>1140055.0077323297</v>
      </c>
      <c r="J118" s="20">
        <f t="shared" si="77"/>
        <v>1394534.6431931136</v>
      </c>
      <c r="K118" s="20">
        <f t="shared" si="77"/>
        <v>1439690.1013382003</v>
      </c>
      <c r="L118" s="20">
        <f t="shared" si="77"/>
        <v>1500111.8303812465</v>
      </c>
      <c r="M118" s="20">
        <f t="shared" si="77"/>
        <v>1522499.5407674536</v>
      </c>
      <c r="N118" s="5">
        <f t="shared" si="28"/>
        <v>468465</v>
      </c>
      <c r="O118" s="9">
        <f t="shared" si="29"/>
        <v>1170127</v>
      </c>
      <c r="P118" s="9">
        <f t="shared" si="30"/>
        <v>1469901</v>
      </c>
      <c r="Q118" s="9">
        <f t="shared" si="31"/>
        <v>981947</v>
      </c>
      <c r="R118" s="6">
        <f t="shared" si="32"/>
        <v>1522500</v>
      </c>
      <c r="S118" s="41">
        <f t="shared" si="33"/>
        <v>1405395</v>
      </c>
      <c r="T118" s="14">
        <f t="shared" si="34"/>
        <v>3510381</v>
      </c>
      <c r="U118" s="14">
        <f t="shared" si="35"/>
        <v>2939802</v>
      </c>
      <c r="V118" s="14">
        <f t="shared" si="36"/>
        <v>7855576</v>
      </c>
      <c r="W118" s="185">
        <f t="shared" si="37"/>
        <v>3045000</v>
      </c>
    </row>
    <row r="119" spans="4:23" x14ac:dyDescent="0.25">
      <c r="D119" s="8" t="s">
        <v>43</v>
      </c>
      <c r="E119" s="20">
        <f t="shared" ref="E119:M119" si="78">E59*$F$72/2000</f>
        <v>0</v>
      </c>
      <c r="F119" s="20">
        <f t="shared" si="78"/>
        <v>142547.04949387992</v>
      </c>
      <c r="G119" s="20">
        <f t="shared" si="78"/>
        <v>411479.82738258562</v>
      </c>
      <c r="H119" s="20">
        <f t="shared" si="78"/>
        <v>497225.91571810591</v>
      </c>
      <c r="I119" s="20">
        <f t="shared" si="78"/>
        <v>589770.41947307403</v>
      </c>
      <c r="J119" s="20">
        <f t="shared" si="78"/>
        <v>782030.01837686251</v>
      </c>
      <c r="K119" s="20">
        <f t="shared" si="78"/>
        <v>649741.31877249654</v>
      </c>
      <c r="L119" s="20">
        <f t="shared" si="78"/>
        <v>527511.20244464593</v>
      </c>
      <c r="M119" s="20">
        <f t="shared" si="78"/>
        <v>397062.53960543394</v>
      </c>
      <c r="N119" s="5">
        <f t="shared" si="28"/>
        <v>184676</v>
      </c>
      <c r="O119" s="9">
        <f t="shared" si="29"/>
        <v>623009</v>
      </c>
      <c r="P119" s="9">
        <f t="shared" si="30"/>
        <v>588627</v>
      </c>
      <c r="Q119" s="9">
        <f t="shared" si="31"/>
        <v>450039</v>
      </c>
      <c r="R119" s="6">
        <f t="shared" si="32"/>
        <v>397063</v>
      </c>
      <c r="S119" s="41">
        <f t="shared" si="33"/>
        <v>554028</v>
      </c>
      <c r="T119" s="14">
        <f t="shared" si="34"/>
        <v>1869027</v>
      </c>
      <c r="U119" s="14">
        <f t="shared" si="35"/>
        <v>1177254</v>
      </c>
      <c r="V119" s="14">
        <f t="shared" si="36"/>
        <v>3600312</v>
      </c>
      <c r="W119" s="185">
        <f t="shared" si="37"/>
        <v>794126</v>
      </c>
    </row>
    <row r="120" spans="4:23" x14ac:dyDescent="0.25">
      <c r="D120" s="8" t="s">
        <v>44</v>
      </c>
      <c r="E120" s="20">
        <f t="shared" ref="E120:M120" si="79">E60*$F$72/2000</f>
        <v>71439.476874168729</v>
      </c>
      <c r="F120" s="20">
        <f t="shared" si="79"/>
        <v>261052.11255473591</v>
      </c>
      <c r="G120" s="20">
        <f t="shared" si="79"/>
        <v>428581.20542561036</v>
      </c>
      <c r="H120" s="20">
        <f t="shared" si="79"/>
        <v>528425.89384610718</v>
      </c>
      <c r="I120" s="20">
        <f t="shared" si="79"/>
        <v>617381.60623534676</v>
      </c>
      <c r="J120" s="20">
        <f t="shared" si="79"/>
        <v>755191.663670621</v>
      </c>
      <c r="K120" s="20">
        <f t="shared" si="79"/>
        <v>779645.00065070123</v>
      </c>
      <c r="L120" s="20">
        <f t="shared" si="79"/>
        <v>812365.5833200519</v>
      </c>
      <c r="M120" s="20">
        <f t="shared" si="79"/>
        <v>824489.349721167</v>
      </c>
      <c r="N120" s="5">
        <f t="shared" si="28"/>
        <v>253691</v>
      </c>
      <c r="O120" s="9">
        <f t="shared" si="29"/>
        <v>633667</v>
      </c>
      <c r="P120" s="9">
        <f t="shared" si="30"/>
        <v>796006</v>
      </c>
      <c r="Q120" s="9">
        <f t="shared" si="31"/>
        <v>531761</v>
      </c>
      <c r="R120" s="6">
        <f t="shared" si="32"/>
        <v>824490</v>
      </c>
      <c r="S120" s="41">
        <f t="shared" si="33"/>
        <v>761073</v>
      </c>
      <c r="T120" s="14">
        <f t="shared" si="34"/>
        <v>1901001</v>
      </c>
      <c r="U120" s="14">
        <f t="shared" si="35"/>
        <v>1592012</v>
      </c>
      <c r="V120" s="14">
        <f t="shared" si="36"/>
        <v>4254088</v>
      </c>
      <c r="W120" s="185">
        <f t="shared" si="37"/>
        <v>1648980</v>
      </c>
    </row>
    <row r="121" spans="4:23" x14ac:dyDescent="0.25">
      <c r="D121" s="8" t="s">
        <v>45</v>
      </c>
      <c r="E121" s="20">
        <f t="shared" ref="E121:M121" si="80">E61*$F$72/2000</f>
        <v>0</v>
      </c>
      <c r="F121" s="20">
        <f t="shared" si="80"/>
        <v>190977.67615314006</v>
      </c>
      <c r="G121" s="20">
        <f t="shared" si="80"/>
        <v>551280.86829180794</v>
      </c>
      <c r="H121" s="20">
        <f t="shared" si="80"/>
        <v>666159.3505029924</v>
      </c>
      <c r="I121" s="20">
        <f t="shared" si="80"/>
        <v>790146.02248688473</v>
      </c>
      <c r="J121" s="20">
        <f t="shared" si="80"/>
        <v>1047726.1796851349</v>
      </c>
      <c r="K121" s="20">
        <f t="shared" si="80"/>
        <v>870492.14698179695</v>
      </c>
      <c r="L121" s="20">
        <f t="shared" si="80"/>
        <v>706734.12003488967</v>
      </c>
      <c r="M121" s="20">
        <f t="shared" si="80"/>
        <v>531965.28002893238</v>
      </c>
      <c r="N121" s="5">
        <f t="shared" si="28"/>
        <v>247420</v>
      </c>
      <c r="O121" s="9">
        <f t="shared" si="29"/>
        <v>834678</v>
      </c>
      <c r="P121" s="9">
        <f t="shared" si="30"/>
        <v>788614</v>
      </c>
      <c r="Q121" s="9">
        <f t="shared" si="31"/>
        <v>602940</v>
      </c>
      <c r="R121" s="6">
        <f t="shared" si="32"/>
        <v>531966</v>
      </c>
      <c r="S121" s="41">
        <f t="shared" si="33"/>
        <v>742260</v>
      </c>
      <c r="T121" s="14">
        <f t="shared" si="34"/>
        <v>2504034</v>
      </c>
      <c r="U121" s="14">
        <f t="shared" si="35"/>
        <v>1577228</v>
      </c>
      <c r="V121" s="14">
        <f t="shared" si="36"/>
        <v>4823520</v>
      </c>
      <c r="W121" s="185">
        <f t="shared" si="37"/>
        <v>1063932</v>
      </c>
    </row>
    <row r="122" spans="4:23" x14ac:dyDescent="0.25">
      <c r="D122" s="8" t="s">
        <v>46</v>
      </c>
      <c r="E122" s="20">
        <f t="shared" ref="E122:M122" si="81">E62*$F$72/2000</f>
        <v>0</v>
      </c>
      <c r="F122" s="20">
        <f t="shared" si="81"/>
        <v>115561.24192783024</v>
      </c>
      <c r="G122" s="20">
        <f t="shared" si="81"/>
        <v>333581.92996216571</v>
      </c>
      <c r="H122" s="20">
        <f t="shared" si="81"/>
        <v>403095.29059423954</v>
      </c>
      <c r="I122" s="20">
        <f t="shared" si="81"/>
        <v>478120.04786203575</v>
      </c>
      <c r="J122" s="20">
        <f t="shared" si="81"/>
        <v>633982.67778495257</v>
      </c>
      <c r="K122" s="20">
        <f t="shared" si="81"/>
        <v>526737.76129192789</v>
      </c>
      <c r="L122" s="20">
        <f t="shared" si="81"/>
        <v>427647.2217544117</v>
      </c>
      <c r="M122" s="20">
        <f t="shared" si="81"/>
        <v>321894.00175408227</v>
      </c>
      <c r="N122" s="5">
        <f t="shared" si="28"/>
        <v>149715</v>
      </c>
      <c r="O122" s="9">
        <f t="shared" si="29"/>
        <v>505067</v>
      </c>
      <c r="P122" s="9">
        <f t="shared" si="30"/>
        <v>477193</v>
      </c>
      <c r="Q122" s="9">
        <f t="shared" si="31"/>
        <v>364841</v>
      </c>
      <c r="R122" s="6">
        <f t="shared" si="32"/>
        <v>321895</v>
      </c>
      <c r="S122" s="41">
        <f t="shared" si="33"/>
        <v>449145</v>
      </c>
      <c r="T122" s="14">
        <f t="shared" si="34"/>
        <v>1515201</v>
      </c>
      <c r="U122" s="14">
        <f t="shared" si="35"/>
        <v>954386</v>
      </c>
      <c r="V122" s="14">
        <f t="shared" si="36"/>
        <v>2918728</v>
      </c>
      <c r="W122" s="185">
        <f t="shared" si="37"/>
        <v>643790</v>
      </c>
    </row>
    <row r="123" spans="4:23" x14ac:dyDescent="0.25">
      <c r="D123" s="8" t="s">
        <v>47</v>
      </c>
      <c r="E123" s="20">
        <f t="shared" ref="E123:M123" si="82">E63*$F$72/2000</f>
        <v>159273.47382096053</v>
      </c>
      <c r="F123" s="20">
        <f t="shared" si="82"/>
        <v>582012.61591162777</v>
      </c>
      <c r="G123" s="20">
        <f t="shared" si="82"/>
        <v>955516.75893071771</v>
      </c>
      <c r="H123" s="20">
        <f t="shared" si="82"/>
        <v>1178119.3179516122</v>
      </c>
      <c r="I123" s="20">
        <f t="shared" si="82"/>
        <v>1376445.0329258137</v>
      </c>
      <c r="J123" s="20">
        <f t="shared" si="82"/>
        <v>1683690.9358296574</v>
      </c>
      <c r="K123" s="20">
        <f t="shared" si="82"/>
        <v>1738209.3631439006</v>
      </c>
      <c r="L123" s="20">
        <f t="shared" si="82"/>
        <v>1811159.5175294483</v>
      </c>
      <c r="M123" s="20">
        <f t="shared" si="82"/>
        <v>1838189.3121890684</v>
      </c>
      <c r="N123" s="5">
        <f t="shared" si="28"/>
        <v>565601</v>
      </c>
      <c r="O123" s="9">
        <f t="shared" si="29"/>
        <v>1412752</v>
      </c>
      <c r="P123" s="9">
        <f t="shared" si="30"/>
        <v>1774685</v>
      </c>
      <c r="Q123" s="9">
        <f t="shared" si="31"/>
        <v>1185554</v>
      </c>
      <c r="R123" s="6">
        <f t="shared" si="32"/>
        <v>1838190</v>
      </c>
      <c r="S123" s="41">
        <f t="shared" si="33"/>
        <v>1696803</v>
      </c>
      <c r="T123" s="14">
        <f t="shared" si="34"/>
        <v>4238256</v>
      </c>
      <c r="U123" s="14">
        <f t="shared" si="35"/>
        <v>3549370</v>
      </c>
      <c r="V123" s="14">
        <f t="shared" si="36"/>
        <v>9484432</v>
      </c>
      <c r="W123" s="185">
        <f t="shared" si="37"/>
        <v>3676380</v>
      </c>
    </row>
    <row r="124" spans="4:23" x14ac:dyDescent="0.25">
      <c r="D124" s="8" t="s">
        <v>129</v>
      </c>
      <c r="E124" s="20">
        <f t="shared" ref="E124:M124" si="83">E64*$F$72/2000</f>
        <v>108760.69169051191</v>
      </c>
      <c r="F124" s="20">
        <f t="shared" si="83"/>
        <v>397430.23844829656</v>
      </c>
      <c r="G124" s="20">
        <f t="shared" si="83"/>
        <v>652479.418763733</v>
      </c>
      <c r="H124" s="20">
        <f t="shared" si="83"/>
        <v>804484.69440935261</v>
      </c>
      <c r="I124" s="20">
        <f t="shared" si="83"/>
        <v>939912.40514577052</v>
      </c>
      <c r="J124" s="20">
        <f t="shared" si="83"/>
        <v>1149716.8133579076</v>
      </c>
      <c r="K124" s="20">
        <f t="shared" si="83"/>
        <v>1186944.9953164505</v>
      </c>
      <c r="L124" s="20">
        <f t="shared" si="83"/>
        <v>1236759.3746952827</v>
      </c>
      <c r="M124" s="20">
        <f t="shared" si="83"/>
        <v>1255216.8057596507</v>
      </c>
      <c r="N124" s="5">
        <f t="shared" si="28"/>
        <v>386224</v>
      </c>
      <c r="O124" s="9">
        <f t="shared" si="29"/>
        <v>964705</v>
      </c>
      <c r="P124" s="9">
        <f t="shared" si="30"/>
        <v>1211853</v>
      </c>
      <c r="Q124" s="9">
        <f t="shared" si="31"/>
        <v>809562</v>
      </c>
      <c r="R124" s="6">
        <f t="shared" si="32"/>
        <v>1255217</v>
      </c>
      <c r="S124" s="41">
        <f t="shared" si="33"/>
        <v>1158672</v>
      </c>
      <c r="T124" s="14">
        <f t="shared" si="34"/>
        <v>2894115</v>
      </c>
      <c r="U124" s="14">
        <f t="shared" si="35"/>
        <v>2423706</v>
      </c>
      <c r="V124" s="14">
        <f t="shared" si="36"/>
        <v>6476496</v>
      </c>
      <c r="W124" s="185">
        <f t="shared" si="37"/>
        <v>2510434</v>
      </c>
    </row>
    <row r="125" spans="4:23" x14ac:dyDescent="0.25">
      <c r="D125" s="8" t="s">
        <v>130</v>
      </c>
      <c r="E125" s="20">
        <f t="shared" ref="E125:M125" si="84">E65*$F$72/2000</f>
        <v>11344.03766087696</v>
      </c>
      <c r="F125" s="20">
        <f t="shared" si="84"/>
        <v>41453.061050384043</v>
      </c>
      <c r="G125" s="20">
        <f t="shared" si="84"/>
        <v>68055.388250611984</v>
      </c>
      <c r="H125" s="20">
        <f t="shared" si="84"/>
        <v>83909.954314633462</v>
      </c>
      <c r="I125" s="20">
        <f t="shared" si="84"/>
        <v>98035.435010287212</v>
      </c>
      <c r="J125" s="20">
        <f t="shared" si="84"/>
        <v>119918.60871195016</v>
      </c>
      <c r="K125" s="20">
        <f t="shared" si="84"/>
        <v>123801.60992883686</v>
      </c>
      <c r="L125" s="20">
        <f t="shared" si="84"/>
        <v>128997.38596651336</v>
      </c>
      <c r="M125" s="20">
        <f t="shared" si="84"/>
        <v>130922.54651728517</v>
      </c>
      <c r="N125" s="5">
        <f t="shared" si="28"/>
        <v>40285</v>
      </c>
      <c r="O125" s="9">
        <f t="shared" si="29"/>
        <v>100622</v>
      </c>
      <c r="P125" s="9">
        <f t="shared" si="30"/>
        <v>126400</v>
      </c>
      <c r="Q125" s="9">
        <f t="shared" si="31"/>
        <v>84440</v>
      </c>
      <c r="R125" s="6">
        <f t="shared" si="32"/>
        <v>130923</v>
      </c>
      <c r="S125" s="41">
        <f t="shared" si="33"/>
        <v>120855</v>
      </c>
      <c r="T125" s="14">
        <f t="shared" si="34"/>
        <v>301866</v>
      </c>
      <c r="U125" s="14">
        <f t="shared" si="35"/>
        <v>252800</v>
      </c>
      <c r="V125" s="14">
        <f t="shared" si="36"/>
        <v>675520</v>
      </c>
      <c r="W125" s="185">
        <f t="shared" si="37"/>
        <v>261846</v>
      </c>
    </row>
    <row r="126" spans="4:23" ht="15.75" thickBot="1" x14ac:dyDescent="0.3">
      <c r="D126" s="12" t="s">
        <v>128</v>
      </c>
      <c r="E126" s="53">
        <f t="shared" ref="E126:M126" si="85">E66*$F$72/2000</f>
        <v>4992.4868459710178</v>
      </c>
      <c r="F126" s="53">
        <f t="shared" si="85"/>
        <v>18243.403998297123</v>
      </c>
      <c r="G126" s="53">
        <f t="shared" si="85"/>
        <v>29951.031616406413</v>
      </c>
      <c r="H126" s="53">
        <f t="shared" si="85"/>
        <v>36928.592418781845</v>
      </c>
      <c r="I126" s="53">
        <f t="shared" si="85"/>
        <v>43145.186428274683</v>
      </c>
      <c r="J126" s="53">
        <f t="shared" si="85"/>
        <v>52775.924629227149</v>
      </c>
      <c r="K126" s="53">
        <f t="shared" si="85"/>
        <v>54484.825205699461</v>
      </c>
      <c r="L126" s="53">
        <f t="shared" si="85"/>
        <v>56771.47518855099</v>
      </c>
      <c r="M126" s="53">
        <f t="shared" si="85"/>
        <v>57618.734252160939</v>
      </c>
      <c r="N126" s="35">
        <f t="shared" si="28"/>
        <v>17729</v>
      </c>
      <c r="O126" s="10">
        <f t="shared" si="29"/>
        <v>44284</v>
      </c>
      <c r="P126" s="10">
        <f t="shared" si="30"/>
        <v>55629</v>
      </c>
      <c r="Q126" s="10">
        <f t="shared" si="31"/>
        <v>37162</v>
      </c>
      <c r="R126" s="7">
        <f t="shared" si="32"/>
        <v>57619</v>
      </c>
      <c r="S126" s="42">
        <f t="shared" si="33"/>
        <v>53187</v>
      </c>
      <c r="T126" s="43">
        <f t="shared" si="34"/>
        <v>132852</v>
      </c>
      <c r="U126" s="43">
        <f t="shared" si="35"/>
        <v>111258</v>
      </c>
      <c r="V126" s="43">
        <f t="shared" si="36"/>
        <v>297296</v>
      </c>
      <c r="W126" s="186">
        <f t="shared" si="37"/>
        <v>115238</v>
      </c>
    </row>
  </sheetData>
  <mergeCells count="13">
    <mergeCell ref="N75:R75"/>
    <mergeCell ref="S75:W75"/>
    <mergeCell ref="AB3:AJ3"/>
    <mergeCell ref="AK3:AS3"/>
    <mergeCell ref="D10:M10"/>
    <mergeCell ref="E15:M15"/>
    <mergeCell ref="B15:D15"/>
    <mergeCell ref="L3:N3"/>
    <mergeCell ref="C3:K3"/>
    <mergeCell ref="O3:W3"/>
    <mergeCell ref="B3:B4"/>
    <mergeCell ref="X3:AA3"/>
    <mergeCell ref="D74:W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61"/>
  <sheetViews>
    <sheetView workbookViewId="0">
      <selection activeCell="N6" sqref="N6:Q6"/>
    </sheetView>
  </sheetViews>
  <sheetFormatPr defaultRowHeight="15" x14ac:dyDescent="0.25"/>
  <cols>
    <col min="2" max="2" width="15.28515625" bestFit="1" customWidth="1"/>
    <col min="3" max="3" width="15.28515625" customWidth="1"/>
    <col min="12" max="12" width="11.140625" bestFit="1" customWidth="1"/>
    <col min="16" max="16" width="14.28515625" bestFit="1" customWidth="1"/>
    <col min="19" max="19" width="15.28515625" bestFit="1" customWidth="1"/>
    <col min="20" max="22" width="11.5703125" bestFit="1" customWidth="1"/>
    <col min="23" max="28" width="12.5703125" bestFit="1" customWidth="1"/>
  </cols>
  <sheetData>
    <row r="2" spans="2:28" ht="15.75" thickBot="1" x14ac:dyDescent="0.3"/>
    <row r="3" spans="2:28" ht="19.5" thickBot="1" x14ac:dyDescent="0.35">
      <c r="B3" s="161" t="s">
        <v>160</v>
      </c>
      <c r="C3" s="162"/>
      <c r="D3" s="162"/>
      <c r="E3" s="162"/>
      <c r="F3" s="162"/>
      <c r="G3" s="162"/>
      <c r="H3" s="162"/>
      <c r="I3" s="162"/>
      <c r="J3" s="162"/>
      <c r="K3" s="162"/>
      <c r="L3" s="163"/>
    </row>
    <row r="4" spans="2:28" x14ac:dyDescent="0.25">
      <c r="B4" s="155" t="s">
        <v>137</v>
      </c>
      <c r="C4" s="156"/>
      <c r="D4" s="55">
        <v>2022</v>
      </c>
      <c r="E4" s="55">
        <v>2023</v>
      </c>
      <c r="F4" s="55">
        <v>2024</v>
      </c>
      <c r="G4" s="55">
        <v>2025</v>
      </c>
      <c r="H4" s="55">
        <v>2026</v>
      </c>
      <c r="I4" s="55">
        <v>2027</v>
      </c>
      <c r="J4" s="55">
        <v>2028</v>
      </c>
      <c r="K4" s="55">
        <v>2029</v>
      </c>
      <c r="L4" s="56">
        <v>2030</v>
      </c>
      <c r="S4" s="147" t="s">
        <v>163</v>
      </c>
      <c r="T4" s="148"/>
      <c r="U4" s="148"/>
      <c r="V4" s="148"/>
      <c r="W4" s="148"/>
      <c r="X4" s="148"/>
      <c r="Y4" s="148"/>
      <c r="Z4" s="148"/>
      <c r="AA4" s="148"/>
      <c r="AB4" s="149"/>
    </row>
    <row r="5" spans="2:28" ht="15.75" customHeight="1" thickBot="1" x14ac:dyDescent="0.3">
      <c r="B5" s="157" t="s">
        <v>131</v>
      </c>
      <c r="C5" s="158"/>
      <c r="D5" s="65">
        <f>SUMIF($C$10:$C$59,$B5,D$10:D$59)</f>
        <v>138053.73581073771</v>
      </c>
      <c r="E5" s="65">
        <f t="shared" ref="E5:L7" si="0">SUMIF($C$10:$C$59,$B5,E$10:E$59)</f>
        <v>131857.87783443724</v>
      </c>
      <c r="F5" s="65">
        <f t="shared" si="0"/>
        <v>135132.4520508436</v>
      </c>
      <c r="G5" s="65">
        <f t="shared" si="0"/>
        <v>149186.16541839449</v>
      </c>
      <c r="H5" s="65">
        <f t="shared" si="0"/>
        <v>161395.34611710499</v>
      </c>
      <c r="I5" s="65">
        <f t="shared" si="0"/>
        <v>164933.94620440248</v>
      </c>
      <c r="J5" s="65">
        <f t="shared" si="0"/>
        <v>191779.08367637481</v>
      </c>
      <c r="K5" s="65">
        <f t="shared" si="0"/>
        <v>218278.69525899881</v>
      </c>
      <c r="L5" s="69">
        <f t="shared" si="0"/>
        <v>241663.67676517088</v>
      </c>
      <c r="S5" s="21"/>
      <c r="T5" s="110">
        <v>2022</v>
      </c>
      <c r="U5" s="110">
        <v>2023</v>
      </c>
      <c r="V5" s="110">
        <v>2024</v>
      </c>
      <c r="W5" s="110">
        <v>2025</v>
      </c>
      <c r="X5" s="110">
        <v>2026</v>
      </c>
      <c r="Y5" s="110">
        <v>2027</v>
      </c>
      <c r="Z5" s="110">
        <v>2028</v>
      </c>
      <c r="AA5" s="110">
        <v>2029</v>
      </c>
      <c r="AB5" s="111">
        <v>2030</v>
      </c>
    </row>
    <row r="6" spans="2:28" ht="15.75" thickBot="1" x14ac:dyDescent="0.3">
      <c r="B6" s="157" t="s">
        <v>132</v>
      </c>
      <c r="C6" s="158"/>
      <c r="D6" s="65">
        <f t="shared" ref="D6:D7" si="1">SUMIF($C$10:$C$59,$B6,D$10:D$59)</f>
        <v>29209.277680548894</v>
      </c>
      <c r="E6" s="65">
        <f t="shared" si="0"/>
        <v>27898.363962523094</v>
      </c>
      <c r="F6" s="65">
        <f t="shared" si="0"/>
        <v>28591.195250360935</v>
      </c>
      <c r="G6" s="65">
        <f t="shared" si="0"/>
        <v>31564.666513452317</v>
      </c>
      <c r="H6" s="65">
        <f t="shared" si="0"/>
        <v>34147.87331467597</v>
      </c>
      <c r="I6" s="65">
        <f t="shared" si="0"/>
        <v>34896.566944321647</v>
      </c>
      <c r="J6" s="65">
        <f t="shared" si="0"/>
        <v>40576.43551279221</v>
      </c>
      <c r="K6" s="65">
        <f t="shared" si="0"/>
        <v>46183.19804332382</v>
      </c>
      <c r="L6" s="69">
        <f t="shared" si="0"/>
        <v>51130.970114517215</v>
      </c>
      <c r="N6" s="150" t="s">
        <v>162</v>
      </c>
      <c r="O6" s="151"/>
      <c r="P6" s="151"/>
      <c r="Q6" s="152"/>
      <c r="S6" s="107" t="s">
        <v>64</v>
      </c>
      <c r="T6" s="26">
        <v>94975762.492277831</v>
      </c>
      <c r="U6" s="26">
        <v>90713245.928439707</v>
      </c>
      <c r="V6" s="26">
        <v>92966029.463882118</v>
      </c>
      <c r="W6" s="26">
        <v>102634454.11818439</v>
      </c>
      <c r="X6" s="26">
        <v>111033909.87688786</v>
      </c>
      <c r="Y6" s="26">
        <v>113468333.25176173</v>
      </c>
      <c r="Z6" s="26">
        <v>131936775.16416293</v>
      </c>
      <c r="AA6" s="26">
        <v>150167508.29882652</v>
      </c>
      <c r="AB6" s="27">
        <v>166255493.43282795</v>
      </c>
    </row>
    <row r="7" spans="2:28" ht="15.75" thickBot="1" x14ac:dyDescent="0.3">
      <c r="B7" s="159" t="s">
        <v>41</v>
      </c>
      <c r="C7" s="160"/>
      <c r="D7" s="71">
        <f t="shared" si="1"/>
        <v>22688.511493269056</v>
      </c>
      <c r="E7" s="71">
        <f t="shared" si="0"/>
        <v>21670.250059919108</v>
      </c>
      <c r="F7" s="71">
        <f t="shared" si="0"/>
        <v>22208.411626559737</v>
      </c>
      <c r="G7" s="71">
        <f t="shared" si="0"/>
        <v>24518.076304521957</v>
      </c>
      <c r="H7" s="71">
        <f t="shared" si="0"/>
        <v>26524.600321994763</v>
      </c>
      <c r="I7" s="71">
        <f t="shared" si="0"/>
        <v>27106.153354799317</v>
      </c>
      <c r="J7" s="71">
        <f t="shared" si="0"/>
        <v>31518.031139158833</v>
      </c>
      <c r="K7" s="71">
        <f t="shared" si="0"/>
        <v>35873.123295330428</v>
      </c>
      <c r="L7" s="72">
        <f t="shared" si="0"/>
        <v>39716.339985967803</v>
      </c>
      <c r="N7" s="153" t="s">
        <v>0</v>
      </c>
      <c r="O7" s="154"/>
      <c r="P7" s="103" t="s">
        <v>64</v>
      </c>
      <c r="Q7" s="104" t="s">
        <v>79</v>
      </c>
      <c r="S7" s="25" t="s">
        <v>48</v>
      </c>
      <c r="T7" s="108">
        <v>2022</v>
      </c>
      <c r="U7" s="108">
        <v>2023</v>
      </c>
      <c r="V7" s="108">
        <v>2024</v>
      </c>
      <c r="W7" s="108">
        <v>2025</v>
      </c>
      <c r="X7" s="108">
        <v>2026</v>
      </c>
      <c r="Y7" s="108">
        <v>2027</v>
      </c>
      <c r="Z7" s="108">
        <v>2028</v>
      </c>
      <c r="AA7" s="108">
        <v>2029</v>
      </c>
      <c r="AB7" s="109">
        <v>2030</v>
      </c>
    </row>
    <row r="8" spans="2:28" ht="15.75" thickBot="1" x14ac:dyDescent="0.3">
      <c r="D8" s="65"/>
      <c r="E8" s="65"/>
      <c r="F8" s="65"/>
      <c r="G8" s="65"/>
      <c r="H8" s="65"/>
      <c r="I8" s="65"/>
      <c r="J8" s="65"/>
      <c r="K8" s="65"/>
      <c r="L8" s="65"/>
      <c r="N8" s="8" t="s">
        <v>80</v>
      </c>
      <c r="O8" s="1" t="s">
        <v>131</v>
      </c>
      <c r="P8" s="20">
        <v>99551935.530000001</v>
      </c>
      <c r="Q8" s="23">
        <f>P8/$P$58</f>
        <v>3.6661092357663586E-2</v>
      </c>
      <c r="S8" s="8" t="s">
        <v>1</v>
      </c>
      <c r="T8" s="113">
        <f>T$6*$Q8*10^-3</f>
        <v>3481.915200468919</v>
      </c>
      <c r="U8" s="9">
        <f t="shared" ref="U8:AB23" si="2">U$6*$Q8*10^-3</f>
        <v>3325.6466870459785</v>
      </c>
      <c r="V8" s="9">
        <f t="shared" si="2"/>
        <v>3408.2361923006565</v>
      </c>
      <c r="W8" s="9">
        <f t="shared" si="2"/>
        <v>3762.6912015051439</v>
      </c>
      <c r="X8" s="9">
        <f t="shared" si="2"/>
        <v>4070.6244248290809</v>
      </c>
      <c r="Y8" s="9">
        <f t="shared" si="2"/>
        <v>4159.8730450129869</v>
      </c>
      <c r="Z8" s="9">
        <f t="shared" si="2"/>
        <v>4836.946299665673</v>
      </c>
      <c r="AA8" s="9">
        <f t="shared" si="2"/>
        <v>5505.3048908634919</v>
      </c>
      <c r="AB8" s="6">
        <f t="shared" si="2"/>
        <v>6095.1079997098377</v>
      </c>
    </row>
    <row r="9" spans="2:28" ht="30" x14ac:dyDescent="0.25">
      <c r="B9" s="60" t="s">
        <v>0</v>
      </c>
      <c r="C9" s="112" t="s">
        <v>152</v>
      </c>
      <c r="D9" s="61">
        <v>2022</v>
      </c>
      <c r="E9" s="61">
        <v>2023</v>
      </c>
      <c r="F9" s="61">
        <v>2024</v>
      </c>
      <c r="G9" s="61">
        <v>2025</v>
      </c>
      <c r="H9" s="61">
        <v>2026</v>
      </c>
      <c r="I9" s="61">
        <v>2027</v>
      </c>
      <c r="J9" s="61">
        <v>2028</v>
      </c>
      <c r="K9" s="61">
        <v>2029</v>
      </c>
      <c r="L9" s="62">
        <v>2030</v>
      </c>
      <c r="N9" s="8" t="s">
        <v>81</v>
      </c>
      <c r="O9" s="1" t="s">
        <v>131</v>
      </c>
      <c r="P9" s="20">
        <v>47806177.100000009</v>
      </c>
      <c r="Q9" s="23">
        <f t="shared" ref="Q9:Q57" si="3">P9/$P$58</f>
        <v>1.7605149157564774E-2</v>
      </c>
      <c r="S9" s="8" t="s">
        <v>3</v>
      </c>
      <c r="T9" s="113">
        <f t="shared" ref="T9:AB40" si="4">T$6*$Q9*10^-3</f>
        <v>1672.0624650299972</v>
      </c>
      <c r="U9" s="9">
        <f t="shared" si="2"/>
        <v>1597.0202251370365</v>
      </c>
      <c r="V9" s="9">
        <f t="shared" si="2"/>
        <v>1636.6808152982062</v>
      </c>
      <c r="W9" s="9">
        <f t="shared" si="2"/>
        <v>1806.8948734558744</v>
      </c>
      <c r="X9" s="9">
        <f t="shared" si="2"/>
        <v>1954.7685449302153</v>
      </c>
      <c r="Y9" s="9">
        <f t="shared" si="2"/>
        <v>1997.6269315575323</v>
      </c>
      <c r="Z9" s="9">
        <f t="shared" si="2"/>
        <v>2322.7666061331761</v>
      </c>
      <c r="AA9" s="9">
        <f t="shared" si="2"/>
        <v>2643.7213822206868</v>
      </c>
      <c r="AB9" s="6">
        <f t="shared" si="2"/>
        <v>2926.9527601494669</v>
      </c>
    </row>
    <row r="10" spans="2:28" x14ac:dyDescent="0.25">
      <c r="B10" s="121" t="s">
        <v>1</v>
      </c>
      <c r="C10" s="15" t="str">
        <f>VLOOKUP(B10,'State Interconnection Mapping'!$A$3:$B$52,2,0)</f>
        <v>Eastern</v>
      </c>
      <c r="D10" s="9">
        <f t="shared" ref="D10:L19" si="5">VLOOKUP($B10,$S$8:$AB$57,D$9-2020,0)*2</f>
        <v>6963.830400937838</v>
      </c>
      <c r="E10" s="9">
        <f t="shared" si="5"/>
        <v>6651.293374091957</v>
      </c>
      <c r="F10" s="9">
        <f t="shared" si="5"/>
        <v>6816.472384601313</v>
      </c>
      <c r="G10" s="9">
        <f t="shared" si="5"/>
        <v>7525.3824030102878</v>
      </c>
      <c r="H10" s="9">
        <f t="shared" si="5"/>
        <v>8141.2488496581618</v>
      </c>
      <c r="I10" s="9">
        <f t="shared" si="5"/>
        <v>8319.7460900259739</v>
      </c>
      <c r="J10" s="9">
        <f t="shared" si="5"/>
        <v>9673.892599331346</v>
      </c>
      <c r="K10" s="9">
        <f t="shared" si="5"/>
        <v>11010.609781726984</v>
      </c>
      <c r="L10" s="6">
        <f t="shared" si="5"/>
        <v>12190.215999419675</v>
      </c>
      <c r="N10" s="8" t="s">
        <v>82</v>
      </c>
      <c r="O10" s="1" t="s">
        <v>132</v>
      </c>
      <c r="P10" s="20">
        <v>52154061.00999999</v>
      </c>
      <c r="Q10" s="23">
        <f t="shared" si="3"/>
        <v>1.9206305104320566E-2</v>
      </c>
      <c r="S10" s="8" t="s">
        <v>2</v>
      </c>
      <c r="T10" s="113">
        <f t="shared" si="4"/>
        <v>1824.1334719421736</v>
      </c>
      <c r="U10" s="9">
        <f t="shared" si="2"/>
        <v>1742.2662783048784</v>
      </c>
      <c r="V10" s="9">
        <f t="shared" si="2"/>
        <v>1785.5339262205755</v>
      </c>
      <c r="W10" s="9">
        <f t="shared" si="2"/>
        <v>1971.2286400092398</v>
      </c>
      <c r="X10" s="9">
        <f t="shared" si="2"/>
        <v>2132.551150021141</v>
      </c>
      <c r="Y10" s="9">
        <f t="shared" si="2"/>
        <v>2179.3074281120585</v>
      </c>
      <c r="Z10" s="9">
        <f t="shared" si="2"/>
        <v>2534.0179582830574</v>
      </c>
      <c r="AA10" s="9">
        <f t="shared" si="2"/>
        <v>2884.1629811428525</v>
      </c>
      <c r="AB10" s="6">
        <f t="shared" si="2"/>
        <v>3193.1537321402579</v>
      </c>
    </row>
    <row r="11" spans="2:28" x14ac:dyDescent="0.25">
      <c r="B11" s="121" t="s">
        <v>2</v>
      </c>
      <c r="C11" s="15" t="str">
        <f>VLOOKUP(B11,'State Interconnection Mapping'!$A$3:$B$52,2,0)</f>
        <v>Western</v>
      </c>
      <c r="D11" s="9">
        <f t="shared" si="5"/>
        <v>3648.2669438843473</v>
      </c>
      <c r="E11" s="9">
        <f t="shared" si="5"/>
        <v>3484.5325566097567</v>
      </c>
      <c r="F11" s="9">
        <f t="shared" si="5"/>
        <v>3571.067852441151</v>
      </c>
      <c r="G11" s="9">
        <f t="shared" si="5"/>
        <v>3942.4572800184797</v>
      </c>
      <c r="H11" s="9">
        <f t="shared" si="5"/>
        <v>4265.102300042282</v>
      </c>
      <c r="I11" s="9">
        <f t="shared" si="5"/>
        <v>4358.6148562241169</v>
      </c>
      <c r="J11" s="9">
        <f t="shared" si="5"/>
        <v>5068.0359165661148</v>
      </c>
      <c r="K11" s="9">
        <f t="shared" si="5"/>
        <v>5768.3259622857049</v>
      </c>
      <c r="L11" s="6">
        <f t="shared" si="5"/>
        <v>6386.3074642805159</v>
      </c>
      <c r="N11" s="8" t="s">
        <v>83</v>
      </c>
      <c r="O11" s="1" t="s">
        <v>132</v>
      </c>
      <c r="P11" s="20">
        <v>104181247.62</v>
      </c>
      <c r="Q11" s="23">
        <f t="shared" si="3"/>
        <v>3.8365887319011124E-2</v>
      </c>
      <c r="S11" s="8" t="s">
        <v>4</v>
      </c>
      <c r="T11" s="113">
        <f t="shared" si="4"/>
        <v>3643.8294018158945</v>
      </c>
      <c r="U11" s="9">
        <f t="shared" si="2"/>
        <v>3480.2941716322625</v>
      </c>
      <c r="V11" s="9">
        <f t="shared" si="2"/>
        <v>3566.7242109071699</v>
      </c>
      <c r="W11" s="9">
        <f t="shared" si="2"/>
        <v>3937.6619017464795</v>
      </c>
      <c r="X11" s="9">
        <f t="shared" si="2"/>
        <v>4259.9144749259158</v>
      </c>
      <c r="Y11" s="9">
        <f t="shared" si="2"/>
        <v>4353.3132878130937</v>
      </c>
      <c r="Z11" s="9">
        <f t="shared" si="2"/>
        <v>5061.871449181981</v>
      </c>
      <c r="AA11" s="9">
        <f t="shared" si="2"/>
        <v>5761.3097023694463</v>
      </c>
      <c r="AB11" s="6">
        <f t="shared" si="2"/>
        <v>6378.5395272104715</v>
      </c>
    </row>
    <row r="12" spans="2:28" x14ac:dyDescent="0.25">
      <c r="B12" s="121" t="s">
        <v>3</v>
      </c>
      <c r="C12" s="15" t="str">
        <f>VLOOKUP(B12,'State Interconnection Mapping'!$A$3:$B$52,2,0)</f>
        <v>Eastern</v>
      </c>
      <c r="D12" s="9">
        <f t="shared" si="5"/>
        <v>3344.1249300599943</v>
      </c>
      <c r="E12" s="9">
        <f t="shared" si="5"/>
        <v>3194.040450274073</v>
      </c>
      <c r="F12" s="9">
        <f t="shared" si="5"/>
        <v>3273.3616305964124</v>
      </c>
      <c r="G12" s="9">
        <f t="shared" si="5"/>
        <v>3613.7897469117488</v>
      </c>
      <c r="H12" s="9">
        <f t="shared" si="5"/>
        <v>3909.5370898604306</v>
      </c>
      <c r="I12" s="9">
        <f t="shared" si="5"/>
        <v>3995.2538631150646</v>
      </c>
      <c r="J12" s="9">
        <f t="shared" si="5"/>
        <v>4645.5332122663522</v>
      </c>
      <c r="K12" s="9">
        <f t="shared" si="5"/>
        <v>5287.4427644413736</v>
      </c>
      <c r="L12" s="6">
        <f t="shared" si="5"/>
        <v>5853.9055202989339</v>
      </c>
      <c r="N12" s="8" t="s">
        <v>84</v>
      </c>
      <c r="O12" s="1" t="s">
        <v>132</v>
      </c>
      <c r="P12" s="20">
        <v>45380179.270000003</v>
      </c>
      <c r="Q12" s="23">
        <f t="shared" si="3"/>
        <v>1.6711748843129707E-2</v>
      </c>
      <c r="S12" s="8" t="s">
        <v>5</v>
      </c>
      <c r="T12" s="113">
        <f t="shared" si="4"/>
        <v>1587.2110889556859</v>
      </c>
      <c r="U12" s="9">
        <f t="shared" si="2"/>
        <v>1515.9769827011428</v>
      </c>
      <c r="V12" s="9">
        <f t="shared" si="2"/>
        <v>1553.6249353433943</v>
      </c>
      <c r="W12" s="9">
        <f t="shared" si="2"/>
        <v>1715.2012198748171</v>
      </c>
      <c r="X12" s="9">
        <f t="shared" si="2"/>
        <v>1855.5708149332488</v>
      </c>
      <c r="Y12" s="9">
        <f t="shared" si="2"/>
        <v>1896.2542869519853</v>
      </c>
      <c r="Z12" s="9">
        <f t="shared" si="2"/>
        <v>2204.8942497159642</v>
      </c>
      <c r="AA12" s="9">
        <f t="shared" si="2"/>
        <v>2509.5616830885847</v>
      </c>
      <c r="AB12" s="6">
        <f t="shared" si="2"/>
        <v>2778.4200500400211</v>
      </c>
    </row>
    <row r="13" spans="2:28" x14ac:dyDescent="0.25">
      <c r="B13" s="121" t="s">
        <v>4</v>
      </c>
      <c r="C13" s="15" t="str">
        <f>VLOOKUP(B13,'State Interconnection Mapping'!$A$3:$B$52,2,0)</f>
        <v>Western</v>
      </c>
      <c r="D13" s="9">
        <f t="shared" si="5"/>
        <v>7287.6588036317889</v>
      </c>
      <c r="E13" s="9">
        <f t="shared" si="5"/>
        <v>6960.5883432645251</v>
      </c>
      <c r="F13" s="9">
        <f t="shared" si="5"/>
        <v>7133.4484218143398</v>
      </c>
      <c r="G13" s="9">
        <f t="shared" si="5"/>
        <v>7875.3238034929591</v>
      </c>
      <c r="H13" s="9">
        <f t="shared" si="5"/>
        <v>8519.8289498518316</v>
      </c>
      <c r="I13" s="9">
        <f t="shared" si="5"/>
        <v>8706.6265756261873</v>
      </c>
      <c r="J13" s="9">
        <f t="shared" si="5"/>
        <v>10123.742898363962</v>
      </c>
      <c r="K13" s="9">
        <f t="shared" si="5"/>
        <v>11522.619404738893</v>
      </c>
      <c r="L13" s="6">
        <f t="shared" si="5"/>
        <v>12757.079054420943</v>
      </c>
      <c r="N13" s="8" t="s">
        <v>85</v>
      </c>
      <c r="O13" s="1" t="s">
        <v>131</v>
      </c>
      <c r="P13" s="20">
        <v>15738354.41</v>
      </c>
      <c r="Q13" s="23">
        <f t="shared" si="3"/>
        <v>5.79582166344498E-3</v>
      </c>
      <c r="S13" s="8" t="s">
        <v>6</v>
      </c>
      <c r="T13" s="113">
        <f t="shared" si="4"/>
        <v>550.46258175494904</v>
      </c>
      <c r="U13" s="9">
        <f t="shared" si="2"/>
        <v>525.75779591346304</v>
      </c>
      <c r="V13" s="9">
        <f t="shared" si="2"/>
        <v>538.81452753123233</v>
      </c>
      <c r="W13" s="9">
        <f t="shared" si="2"/>
        <v>594.85099259402296</v>
      </c>
      <c r="X13" s="9">
        <f t="shared" si="2"/>
        <v>643.53274024146424</v>
      </c>
      <c r="Y13" s="9">
        <f t="shared" si="2"/>
        <v>657.642223975555</v>
      </c>
      <c r="Z13" s="9">
        <f t="shared" si="2"/>
        <v>764.68201970152506</v>
      </c>
      <c r="AA13" s="9">
        <f t="shared" si="2"/>
        <v>870.34409774389258</v>
      </c>
      <c r="AB13" s="6">
        <f t="shared" si="2"/>
        <v>963.58719050471882</v>
      </c>
    </row>
    <row r="14" spans="2:28" x14ac:dyDescent="0.25">
      <c r="B14" s="121" t="s">
        <v>5</v>
      </c>
      <c r="C14" s="15" t="str">
        <f>VLOOKUP(B14,'State Interconnection Mapping'!$A$3:$B$52,2,0)</f>
        <v>Western</v>
      </c>
      <c r="D14" s="9">
        <f t="shared" si="5"/>
        <v>3174.4221779113718</v>
      </c>
      <c r="E14" s="9">
        <f t="shared" si="5"/>
        <v>3031.9539654022856</v>
      </c>
      <c r="F14" s="9">
        <f t="shared" si="5"/>
        <v>3107.2498706867887</v>
      </c>
      <c r="G14" s="9">
        <f t="shared" si="5"/>
        <v>3430.4024397496341</v>
      </c>
      <c r="H14" s="9">
        <f t="shared" si="5"/>
        <v>3711.1416298664976</v>
      </c>
      <c r="I14" s="9">
        <f t="shared" si="5"/>
        <v>3792.5085739039705</v>
      </c>
      <c r="J14" s="9">
        <f t="shared" si="5"/>
        <v>4409.7884994319284</v>
      </c>
      <c r="K14" s="9">
        <f t="shared" si="5"/>
        <v>5019.1233661771694</v>
      </c>
      <c r="L14" s="6">
        <f t="shared" si="5"/>
        <v>5556.8401000800422</v>
      </c>
      <c r="N14" s="8" t="s">
        <v>86</v>
      </c>
      <c r="O14" s="1" t="s">
        <v>131</v>
      </c>
      <c r="P14" s="20">
        <v>9163607.3800000008</v>
      </c>
      <c r="Q14" s="23">
        <f t="shared" si="3"/>
        <v>3.3745989437474039E-3</v>
      </c>
      <c r="S14" s="8" t="s">
        <v>7</v>
      </c>
      <c r="T14" s="113">
        <f t="shared" si="4"/>
        <v>320.50510778804511</v>
      </c>
      <c r="U14" s="9">
        <f t="shared" si="2"/>
        <v>306.12082389401115</v>
      </c>
      <c r="V14" s="9">
        <f t="shared" si="2"/>
        <v>313.72306483320665</v>
      </c>
      <c r="W14" s="9">
        <f t="shared" si="2"/>
        <v>346.35012045931643</v>
      </c>
      <c r="X14" s="9">
        <f t="shared" si="2"/>
        <v>374.69491499069022</v>
      </c>
      <c r="Y14" s="9">
        <f t="shared" si="2"/>
        <v>382.91011754017359</v>
      </c>
      <c r="Z14" s="9">
        <f t="shared" si="2"/>
        <v>445.23370211042294</v>
      </c>
      <c r="AA14" s="9">
        <f t="shared" si="2"/>
        <v>506.75511489039945</v>
      </c>
      <c r="AB14" s="6">
        <f t="shared" si="2"/>
        <v>561.04561253062457</v>
      </c>
    </row>
    <row r="15" spans="2:28" x14ac:dyDescent="0.25">
      <c r="B15" s="121" t="s">
        <v>6</v>
      </c>
      <c r="C15" s="15" t="str">
        <f>VLOOKUP(B15,'State Interconnection Mapping'!$A$3:$B$52,2,0)</f>
        <v>Eastern</v>
      </c>
      <c r="D15" s="9">
        <f t="shared" si="5"/>
        <v>1100.9251635098981</v>
      </c>
      <c r="E15" s="9">
        <f t="shared" si="5"/>
        <v>1051.5155918269261</v>
      </c>
      <c r="F15" s="9">
        <f t="shared" si="5"/>
        <v>1077.6290550624647</v>
      </c>
      <c r="G15" s="9">
        <f t="shared" si="5"/>
        <v>1189.7019851880459</v>
      </c>
      <c r="H15" s="9">
        <f t="shared" si="5"/>
        <v>1287.0654804829285</v>
      </c>
      <c r="I15" s="9">
        <f t="shared" si="5"/>
        <v>1315.28444795111</v>
      </c>
      <c r="J15" s="9">
        <f t="shared" si="5"/>
        <v>1529.3640394030501</v>
      </c>
      <c r="K15" s="9">
        <f t="shared" si="5"/>
        <v>1740.6881954877852</v>
      </c>
      <c r="L15" s="6">
        <f t="shared" si="5"/>
        <v>1927.1743810094376</v>
      </c>
      <c r="N15" s="8" t="s">
        <v>87</v>
      </c>
      <c r="O15" s="1" t="s">
        <v>131</v>
      </c>
      <c r="P15" s="20">
        <v>203779465.06999996</v>
      </c>
      <c r="Q15" s="23">
        <f t="shared" si="3"/>
        <v>7.5044023501433868E-2</v>
      </c>
      <c r="S15" s="8" t="s">
        <v>8</v>
      </c>
      <c r="T15" s="113">
        <f t="shared" si="4"/>
        <v>7127.3633525370997</v>
      </c>
      <c r="U15" s="9">
        <f t="shared" si="2"/>
        <v>6807.4869593451795</v>
      </c>
      <c r="V15" s="9">
        <f t="shared" si="2"/>
        <v>6976.5448999225628</v>
      </c>
      <c r="W15" s="9">
        <f t="shared" si="2"/>
        <v>7702.1023869018645</v>
      </c>
      <c r="X15" s="9">
        <f t="shared" si="2"/>
        <v>8332.4313422572632</v>
      </c>
      <c r="Y15" s="9">
        <f t="shared" si="2"/>
        <v>8515.120267213737</v>
      </c>
      <c r="Z15" s="9">
        <f t="shared" si="2"/>
        <v>9901.0664561228405</v>
      </c>
      <c r="AA15" s="9">
        <f t="shared" si="2"/>
        <v>11269.174021928902</v>
      </c>
      <c r="AB15" s="6">
        <f t="shared" si="2"/>
        <v>12476.481156415624</v>
      </c>
    </row>
    <row r="16" spans="2:28" x14ac:dyDescent="0.25">
      <c r="B16" s="121" t="s">
        <v>7</v>
      </c>
      <c r="C16" s="15" t="str">
        <f>VLOOKUP(B16,'State Interconnection Mapping'!$A$3:$B$52,2,0)</f>
        <v>Eastern</v>
      </c>
      <c r="D16" s="9">
        <f t="shared" si="5"/>
        <v>641.01021557609022</v>
      </c>
      <c r="E16" s="9">
        <f t="shared" si="5"/>
        <v>612.24164778802231</v>
      </c>
      <c r="F16" s="9">
        <f t="shared" si="5"/>
        <v>627.4461296664133</v>
      </c>
      <c r="G16" s="9">
        <f t="shared" si="5"/>
        <v>692.70024091863286</v>
      </c>
      <c r="H16" s="9">
        <f t="shared" si="5"/>
        <v>749.38982998138044</v>
      </c>
      <c r="I16" s="9">
        <f t="shared" si="5"/>
        <v>765.82023508034717</v>
      </c>
      <c r="J16" s="9">
        <f t="shared" si="5"/>
        <v>890.46740422084588</v>
      </c>
      <c r="K16" s="9">
        <f t="shared" si="5"/>
        <v>1013.5102297807989</v>
      </c>
      <c r="L16" s="6">
        <f t="shared" si="5"/>
        <v>1122.0912250612491</v>
      </c>
      <c r="N16" s="8" t="s">
        <v>67</v>
      </c>
      <c r="O16" s="1" t="s">
        <v>132</v>
      </c>
      <c r="P16" s="20">
        <v>1360092.99</v>
      </c>
      <c r="Q16" s="23">
        <f t="shared" si="3"/>
        <v>5.0086916397898396E-4</v>
      </c>
      <c r="S16" s="8" t="s">
        <v>67</v>
      </c>
      <c r="T16" s="113">
        <f t="shared" si="4"/>
        <v>47.570430757773742</v>
      </c>
      <c r="U16" s="9">
        <f t="shared" si="2"/>
        <v>45.43546764999757</v>
      </c>
      <c r="V16" s="9">
        <f t="shared" si="2"/>
        <v>46.563817456020224</v>
      </c>
      <c r="W16" s="9">
        <f t="shared" si="2"/>
        <v>51.4064332296144</v>
      </c>
      <c r="X16" s="9">
        <f t="shared" si="2"/>
        <v>55.613461613354673</v>
      </c>
      <c r="Y16" s="9">
        <f t="shared" si="2"/>
        <v>56.83278921389865</v>
      </c>
      <c r="Z16" s="9">
        <f t="shared" si="2"/>
        <v>66.083062274557463</v>
      </c>
      <c r="AA16" s="9">
        <f t="shared" si="2"/>
        <v>75.214274338440376</v>
      </c>
      <c r="AB16" s="6">
        <f t="shared" si="2"/>
        <v>83.272250002613987</v>
      </c>
    </row>
    <row r="17" spans="2:28" x14ac:dyDescent="0.25">
      <c r="B17" s="121" t="s">
        <v>8</v>
      </c>
      <c r="C17" s="15" t="str">
        <f>VLOOKUP(B17,'State Interconnection Mapping'!$A$3:$B$52,2,0)</f>
        <v>Eastern</v>
      </c>
      <c r="D17" s="9">
        <f t="shared" si="5"/>
        <v>14254.726705074199</v>
      </c>
      <c r="E17" s="9">
        <f t="shared" si="5"/>
        <v>13614.973918690359</v>
      </c>
      <c r="F17" s="9">
        <f t="shared" si="5"/>
        <v>13953.089799845126</v>
      </c>
      <c r="G17" s="9">
        <f t="shared" si="5"/>
        <v>15404.204773803729</v>
      </c>
      <c r="H17" s="9">
        <f t="shared" si="5"/>
        <v>16664.862684514526</v>
      </c>
      <c r="I17" s="9">
        <f t="shared" si="5"/>
        <v>17030.240534427474</v>
      </c>
      <c r="J17" s="9">
        <f t="shared" si="5"/>
        <v>19802.132912245681</v>
      </c>
      <c r="K17" s="9">
        <f t="shared" si="5"/>
        <v>22538.348043857804</v>
      </c>
      <c r="L17" s="6">
        <f t="shared" si="5"/>
        <v>24952.962312831249</v>
      </c>
      <c r="N17" s="8" t="s">
        <v>88</v>
      </c>
      <c r="O17" s="1" t="s">
        <v>131</v>
      </c>
      <c r="P17" s="20">
        <v>78719240.229999989</v>
      </c>
      <c r="Q17" s="23">
        <f t="shared" si="3"/>
        <v>2.8989223775839693E-2</v>
      </c>
      <c r="S17" s="8" t="s">
        <v>9</v>
      </c>
      <c r="T17" s="113">
        <f t="shared" si="4"/>
        <v>2753.2736321696443</v>
      </c>
      <c r="U17" s="9">
        <f t="shared" si="2"/>
        <v>2629.7065856523172</v>
      </c>
      <c r="V17" s="9">
        <f t="shared" si="2"/>
        <v>2695.0130316797849</v>
      </c>
      <c r="W17" s="9">
        <f t="shared" si="2"/>
        <v>2975.293157543199</v>
      </c>
      <c r="X17" s="9">
        <f t="shared" si="2"/>
        <v>3218.7868601275195</v>
      </c>
      <c r="Y17" s="9">
        <f t="shared" si="2"/>
        <v>3289.3589041068726</v>
      </c>
      <c r="Z17" s="9">
        <f t="shared" si="2"/>
        <v>3824.744699496568</v>
      </c>
      <c r="AA17" s="9">
        <f t="shared" si="2"/>
        <v>4353.239501934946</v>
      </c>
      <c r="AB17" s="6">
        <f t="shared" si="2"/>
        <v>4819.6177030868957</v>
      </c>
    </row>
    <row r="18" spans="2:28" x14ac:dyDescent="0.25">
      <c r="B18" s="121" t="s">
        <v>9</v>
      </c>
      <c r="C18" s="15" t="str">
        <f>VLOOKUP(B18,'State Interconnection Mapping'!$A$3:$B$52,2,0)</f>
        <v>Eastern</v>
      </c>
      <c r="D18" s="9">
        <f t="shared" si="5"/>
        <v>5506.5472643392886</v>
      </c>
      <c r="E18" s="9">
        <f t="shared" si="5"/>
        <v>5259.4131713046345</v>
      </c>
      <c r="F18" s="9">
        <f t="shared" si="5"/>
        <v>5390.0260633595699</v>
      </c>
      <c r="G18" s="9">
        <f t="shared" si="5"/>
        <v>5950.5863150863979</v>
      </c>
      <c r="H18" s="9">
        <f t="shared" si="5"/>
        <v>6437.573720255039</v>
      </c>
      <c r="I18" s="9">
        <f t="shared" si="5"/>
        <v>6578.7178082137452</v>
      </c>
      <c r="J18" s="9">
        <f t="shared" si="5"/>
        <v>7649.4893989931361</v>
      </c>
      <c r="K18" s="9">
        <f t="shared" si="5"/>
        <v>8706.479003869892</v>
      </c>
      <c r="L18" s="6">
        <f t="shared" si="5"/>
        <v>9639.2354061737915</v>
      </c>
      <c r="N18" s="8" t="s">
        <v>89</v>
      </c>
      <c r="O18" s="1" t="s">
        <v>131</v>
      </c>
      <c r="P18" s="20">
        <v>34744404.710000001</v>
      </c>
      <c r="Q18" s="23">
        <f t="shared" si="3"/>
        <v>1.2795008185466182E-2</v>
      </c>
      <c r="S18" s="8" t="s">
        <v>13</v>
      </c>
      <c r="T18" s="113">
        <f t="shared" si="4"/>
        <v>1215.215658509587</v>
      </c>
      <c r="U18" s="9">
        <f t="shared" si="2"/>
        <v>1160.676724184593</v>
      </c>
      <c r="V18" s="9">
        <f t="shared" si="2"/>
        <v>1189.5011079606622</v>
      </c>
      <c r="W18" s="9">
        <f t="shared" si="2"/>
        <v>1313.2086805530225</v>
      </c>
      <c r="X18" s="9">
        <f t="shared" si="2"/>
        <v>1420.6797857390945</v>
      </c>
      <c r="Y18" s="9">
        <f t="shared" si="2"/>
        <v>1451.828252747496</v>
      </c>
      <c r="Z18" s="9">
        <f t="shared" si="2"/>
        <v>1688.1321181894759</v>
      </c>
      <c r="AA18" s="9">
        <f t="shared" si="2"/>
        <v>1921.3944978745462</v>
      </c>
      <c r="AB18" s="6">
        <f t="shared" si="2"/>
        <v>2127.2403993517528</v>
      </c>
    </row>
    <row r="19" spans="2:28" x14ac:dyDescent="0.25">
      <c r="B19" s="121" t="s">
        <v>10</v>
      </c>
      <c r="C19" s="15" t="str">
        <f>VLOOKUP(B19,'State Interconnection Mapping'!$A$3:$B$52,2,0)</f>
        <v>Western</v>
      </c>
      <c r="D19" s="9">
        <f t="shared" si="5"/>
        <v>241.33734758570989</v>
      </c>
      <c r="E19" s="9">
        <f t="shared" si="5"/>
        <v>230.50611638985097</v>
      </c>
      <c r="F19" s="9">
        <f t="shared" si="5"/>
        <v>236.23053269209055</v>
      </c>
      <c r="G19" s="9">
        <f t="shared" si="5"/>
        <v>260.79840032664953</v>
      </c>
      <c r="H19" s="9">
        <f t="shared" si="5"/>
        <v>282.14176542081054</v>
      </c>
      <c r="I19" s="9">
        <f t="shared" si="5"/>
        <v>288.32773608085643</v>
      </c>
      <c r="J19" s="9">
        <f t="shared" si="5"/>
        <v>335.25681217584491</v>
      </c>
      <c r="K19" s="9">
        <f t="shared" si="5"/>
        <v>381.58186041770927</v>
      </c>
      <c r="L19" s="6">
        <f t="shared" si="5"/>
        <v>422.46209721026906</v>
      </c>
      <c r="N19" s="8" t="s">
        <v>90</v>
      </c>
      <c r="O19" s="1" t="s">
        <v>132</v>
      </c>
      <c r="P19" s="20">
        <v>3450055.3121739151</v>
      </c>
      <c r="Q19" s="23">
        <f t="shared" si="3"/>
        <v>1.2705207163002889E-3</v>
      </c>
      <c r="S19" s="8" t="s">
        <v>10</v>
      </c>
      <c r="T19" s="113">
        <f t="shared" si="4"/>
        <v>120.66867379285495</v>
      </c>
      <c r="U19" s="9">
        <f t="shared" si="2"/>
        <v>115.25305819492549</v>
      </c>
      <c r="V19" s="9">
        <f t="shared" si="2"/>
        <v>118.11526634604527</v>
      </c>
      <c r="W19" s="9">
        <f t="shared" si="2"/>
        <v>130.39920016332476</v>
      </c>
      <c r="X19" s="9">
        <f t="shared" si="2"/>
        <v>141.07088271040527</v>
      </c>
      <c r="Y19" s="9">
        <f t="shared" si="2"/>
        <v>144.16386804042821</v>
      </c>
      <c r="Z19" s="9">
        <f t="shared" si="2"/>
        <v>167.62840608792246</v>
      </c>
      <c r="AA19" s="9">
        <f t="shared" si="2"/>
        <v>190.79093020885463</v>
      </c>
      <c r="AB19" s="6">
        <f t="shared" si="2"/>
        <v>211.23104860513453</v>
      </c>
    </row>
    <row r="20" spans="2:28" x14ac:dyDescent="0.25">
      <c r="B20" s="121" t="s">
        <v>11</v>
      </c>
      <c r="C20" s="15" t="str">
        <f>VLOOKUP(B20,'State Interconnection Mapping'!$A$3:$B$52,2,0)</f>
        <v>Eastern</v>
      </c>
      <c r="D20" s="9">
        <f t="shared" ref="D20:L29" si="6">VLOOKUP($B20,$S$8:$AB$57,D$9-2020,0)*2</f>
        <v>6653.4489499638103</v>
      </c>
      <c r="E20" s="9">
        <f t="shared" si="6"/>
        <v>6354.8418568312018</v>
      </c>
      <c r="F20" s="9">
        <f t="shared" si="6"/>
        <v>6512.6587551120001</v>
      </c>
      <c r="G20" s="9">
        <f t="shared" si="6"/>
        <v>7189.9722946500688</v>
      </c>
      <c r="H20" s="9">
        <f t="shared" si="6"/>
        <v>7778.3892615847317</v>
      </c>
      <c r="I20" s="9">
        <f t="shared" si="6"/>
        <v>7948.9307894681097</v>
      </c>
      <c r="J20" s="9">
        <f t="shared" si="6"/>
        <v>9242.7223024293689</v>
      </c>
      <c r="K20" s="9">
        <f t="shared" si="6"/>
        <v>10519.861322416285</v>
      </c>
      <c r="L20" s="6">
        <f t="shared" si="6"/>
        <v>11646.891893037484</v>
      </c>
      <c r="N20" s="8" t="s">
        <v>91</v>
      </c>
      <c r="O20" s="1" t="s">
        <v>131</v>
      </c>
      <c r="P20" s="20">
        <v>95114855.299999997</v>
      </c>
      <c r="Q20" s="23">
        <f t="shared" si="3"/>
        <v>3.5027088887571604E-2</v>
      </c>
      <c r="S20" s="8" t="s">
        <v>11</v>
      </c>
      <c r="T20" s="113">
        <f t="shared" si="4"/>
        <v>3326.7244749819051</v>
      </c>
      <c r="U20" s="9">
        <f t="shared" si="2"/>
        <v>3177.4209284156009</v>
      </c>
      <c r="V20" s="9">
        <f t="shared" si="2"/>
        <v>3256.3293775560001</v>
      </c>
      <c r="W20" s="9">
        <f t="shared" si="2"/>
        <v>3594.9861473250344</v>
      </c>
      <c r="X20" s="9">
        <f t="shared" si="2"/>
        <v>3889.1946307923658</v>
      </c>
      <c r="Y20" s="9">
        <f t="shared" si="2"/>
        <v>3974.4653947340548</v>
      </c>
      <c r="Z20" s="9">
        <f t="shared" si="2"/>
        <v>4621.3611512146845</v>
      </c>
      <c r="AA20" s="9">
        <f t="shared" si="2"/>
        <v>5259.9306612081427</v>
      </c>
      <c r="AB20" s="6">
        <f t="shared" si="2"/>
        <v>5823.4459465187419</v>
      </c>
    </row>
    <row r="21" spans="2:28" x14ac:dyDescent="0.25">
      <c r="B21" s="121" t="s">
        <v>12</v>
      </c>
      <c r="C21" s="15" t="str">
        <f>VLOOKUP(B21,'State Interconnection Mapping'!$A$3:$B$52,2,0)</f>
        <v>Eastern</v>
      </c>
      <c r="D21" s="9">
        <f t="shared" si="6"/>
        <v>7637.1738058128003</v>
      </c>
      <c r="E21" s="9">
        <f t="shared" si="6"/>
        <v>7294.4170961645405</v>
      </c>
      <c r="F21" s="9">
        <f t="shared" si="6"/>
        <v>7475.5675176570348</v>
      </c>
      <c r="G21" s="9">
        <f t="shared" si="6"/>
        <v>8253.0231292328372</v>
      </c>
      <c r="H21" s="9">
        <f t="shared" si="6"/>
        <v>8928.4386438876336</v>
      </c>
      <c r="I21" s="9">
        <f t="shared" si="6"/>
        <v>9124.1950552389699</v>
      </c>
      <c r="J21" s="9">
        <f t="shared" si="6"/>
        <v>10609.276060185193</v>
      </c>
      <c r="K21" s="9">
        <f t="shared" si="6"/>
        <v>12075.242469964074</v>
      </c>
      <c r="L21" s="6">
        <f t="shared" si="6"/>
        <v>13368.906615736963</v>
      </c>
      <c r="N21" s="8" t="s">
        <v>92</v>
      </c>
      <c r="O21" s="1" t="s">
        <v>131</v>
      </c>
      <c r="P21" s="20">
        <v>109177764.33000001</v>
      </c>
      <c r="Q21" s="23">
        <f t="shared" si="3"/>
        <v>4.0205909409960008E-2</v>
      </c>
      <c r="S21" s="8" t="s">
        <v>12</v>
      </c>
      <c r="T21" s="113">
        <f t="shared" si="4"/>
        <v>3818.5869029064002</v>
      </c>
      <c r="U21" s="9">
        <f t="shared" si="2"/>
        <v>3647.2085480822702</v>
      </c>
      <c r="V21" s="9">
        <f t="shared" si="2"/>
        <v>3737.7837588285174</v>
      </c>
      <c r="W21" s="9">
        <f t="shared" si="2"/>
        <v>4126.5115646164186</v>
      </c>
      <c r="X21" s="9">
        <f t="shared" si="2"/>
        <v>4464.2193219438168</v>
      </c>
      <c r="Y21" s="9">
        <f t="shared" si="2"/>
        <v>4562.0975276194849</v>
      </c>
      <c r="Z21" s="9">
        <f t="shared" si="2"/>
        <v>5304.6380300925966</v>
      </c>
      <c r="AA21" s="9">
        <f t="shared" si="2"/>
        <v>6037.6212349820371</v>
      </c>
      <c r="AB21" s="6">
        <f t="shared" si="2"/>
        <v>6684.4533078684817</v>
      </c>
    </row>
    <row r="22" spans="2:28" x14ac:dyDescent="0.25">
      <c r="B22" s="121" t="s">
        <v>13</v>
      </c>
      <c r="C22" s="15" t="str">
        <f>VLOOKUP(B22,'State Interconnection Mapping'!$A$3:$B$52,2,0)</f>
        <v>Eastern</v>
      </c>
      <c r="D22" s="9">
        <f t="shared" si="6"/>
        <v>2430.431317019174</v>
      </c>
      <c r="E22" s="9">
        <f t="shared" si="6"/>
        <v>2321.353448369186</v>
      </c>
      <c r="F22" s="9">
        <f t="shared" si="6"/>
        <v>2379.0022159213245</v>
      </c>
      <c r="G22" s="9">
        <f t="shared" si="6"/>
        <v>2626.4173611060451</v>
      </c>
      <c r="H22" s="9">
        <f t="shared" si="6"/>
        <v>2841.3595714781891</v>
      </c>
      <c r="I22" s="9">
        <f t="shared" si="6"/>
        <v>2903.656505494992</v>
      </c>
      <c r="J22" s="9">
        <f t="shared" si="6"/>
        <v>3376.2642363789519</v>
      </c>
      <c r="K22" s="9">
        <f t="shared" si="6"/>
        <v>3842.7889957490925</v>
      </c>
      <c r="L22" s="6">
        <f t="shared" si="6"/>
        <v>4254.4807987035056</v>
      </c>
      <c r="N22" s="8" t="s">
        <v>93</v>
      </c>
      <c r="O22" s="1" t="s">
        <v>131</v>
      </c>
      <c r="P22" s="20">
        <v>30298551.030000001</v>
      </c>
      <c r="Q22" s="23">
        <f t="shared" si="3"/>
        <v>1.1157773796165721E-2</v>
      </c>
      <c r="S22" s="8" t="s">
        <v>14</v>
      </c>
      <c r="T22" s="113">
        <f t="shared" si="4"/>
        <v>1059.7180740071969</v>
      </c>
      <c r="U22" s="9">
        <f t="shared" si="2"/>
        <v>1012.1578783854814</v>
      </c>
      <c r="V22" s="9">
        <f t="shared" si="2"/>
        <v>1037.2939274856742</v>
      </c>
      <c r="W22" s="9">
        <f t="shared" si="2"/>
        <v>1145.1720227436508</v>
      </c>
      <c r="X22" s="9">
        <f t="shared" si="2"/>
        <v>1238.8912501101656</v>
      </c>
      <c r="Y22" s="9">
        <f t="shared" si="2"/>
        <v>1266.0539954511066</v>
      </c>
      <c r="Z22" s="9">
        <f t="shared" si="2"/>
        <v>1472.1206926773057</v>
      </c>
      <c r="AA22" s="9">
        <f t="shared" si="2"/>
        <v>1675.535089132145</v>
      </c>
      <c r="AB22" s="6">
        <f t="shared" si="2"/>
        <v>1855.0411880934098</v>
      </c>
    </row>
    <row r="23" spans="2:28" x14ac:dyDescent="0.25">
      <c r="B23" s="121" t="s">
        <v>14</v>
      </c>
      <c r="C23" s="15" t="str">
        <f>VLOOKUP(B23,'State Interconnection Mapping'!$A$3:$B$52,2,0)</f>
        <v>Eastern</v>
      </c>
      <c r="D23" s="9">
        <f t="shared" si="6"/>
        <v>2119.4361480143939</v>
      </c>
      <c r="E23" s="9">
        <f t="shared" si="6"/>
        <v>2024.3157567709627</v>
      </c>
      <c r="F23" s="9">
        <f t="shared" si="6"/>
        <v>2074.5878549713484</v>
      </c>
      <c r="G23" s="9">
        <f t="shared" si="6"/>
        <v>2290.3440454873016</v>
      </c>
      <c r="H23" s="9">
        <f t="shared" si="6"/>
        <v>2477.7825002203313</v>
      </c>
      <c r="I23" s="9">
        <f t="shared" si="6"/>
        <v>2532.1079909022133</v>
      </c>
      <c r="J23" s="9">
        <f t="shared" si="6"/>
        <v>2944.2413853546113</v>
      </c>
      <c r="K23" s="9">
        <f t="shared" si="6"/>
        <v>3351.07017826429</v>
      </c>
      <c r="L23" s="6">
        <f t="shared" si="6"/>
        <v>3710.0823761868196</v>
      </c>
      <c r="N23" s="8" t="s">
        <v>94</v>
      </c>
      <c r="O23" s="1" t="s">
        <v>131</v>
      </c>
      <c r="P23" s="20">
        <v>87456089</v>
      </c>
      <c r="Q23" s="23">
        <f t="shared" si="3"/>
        <v>3.2206664179852601E-2</v>
      </c>
      <c r="S23" s="8" t="s">
        <v>15</v>
      </c>
      <c r="T23" s="113">
        <f t="shared" si="4"/>
        <v>3058.852487814233</v>
      </c>
      <c r="U23" s="9">
        <f t="shared" si="2"/>
        <v>2921.5710482816389</v>
      </c>
      <c r="V23" s="9">
        <f t="shared" si="2"/>
        <v>2994.1256910775337</v>
      </c>
      <c r="W23" s="9">
        <f t="shared" si="2"/>
        <v>3305.5133970668544</v>
      </c>
      <c r="X23" s="9">
        <f t="shared" si="2"/>
        <v>3576.0318479809462</v>
      </c>
      <c r="Y23" s="9">
        <f t="shared" si="2"/>
        <v>3654.4365040870925</v>
      </c>
      <c r="Z23" s="9">
        <f t="shared" si="2"/>
        <v>4249.2434106849123</v>
      </c>
      <c r="AA23" s="9">
        <f t="shared" si="2"/>
        <v>4836.3945105055336</v>
      </c>
      <c r="AB23" s="6">
        <f t="shared" si="2"/>
        <v>5354.5348450467791</v>
      </c>
    </row>
    <row r="24" spans="2:28" x14ac:dyDescent="0.25">
      <c r="B24" s="121" t="s">
        <v>15</v>
      </c>
      <c r="C24" s="15" t="str">
        <f>VLOOKUP(B24,'State Interconnection Mapping'!$A$3:$B$52,2,0)</f>
        <v>Eastern</v>
      </c>
      <c r="D24" s="9">
        <f t="shared" si="6"/>
        <v>6117.7049756284659</v>
      </c>
      <c r="E24" s="9">
        <f t="shared" si="6"/>
        <v>5843.1420965632778</v>
      </c>
      <c r="F24" s="9">
        <f t="shared" si="6"/>
        <v>5988.2513821550674</v>
      </c>
      <c r="G24" s="9">
        <f t="shared" si="6"/>
        <v>6611.0267941337088</v>
      </c>
      <c r="H24" s="9">
        <f t="shared" si="6"/>
        <v>7152.0636959618923</v>
      </c>
      <c r="I24" s="9">
        <f t="shared" si="6"/>
        <v>7308.8730081741851</v>
      </c>
      <c r="J24" s="9">
        <f t="shared" si="6"/>
        <v>8498.4868213698246</v>
      </c>
      <c r="K24" s="9">
        <f t="shared" si="6"/>
        <v>9672.7890210110672</v>
      </c>
      <c r="L24" s="6">
        <f t="shared" si="6"/>
        <v>10709.069690093558</v>
      </c>
      <c r="N24" s="8" t="s">
        <v>95</v>
      </c>
      <c r="O24" s="1" t="s">
        <v>131</v>
      </c>
      <c r="P24" s="20">
        <v>56290054.379999995</v>
      </c>
      <c r="Q24" s="23">
        <f t="shared" si="3"/>
        <v>2.0729430035252329E-2</v>
      </c>
      <c r="S24" s="8" t="s">
        <v>16</v>
      </c>
      <c r="T24" s="113">
        <f t="shared" si="4"/>
        <v>1968.7934236284157</v>
      </c>
      <c r="U24" s="9">
        <f t="shared" si="4"/>
        <v>1880.4338847442291</v>
      </c>
      <c r="V24" s="9">
        <f t="shared" si="4"/>
        <v>1927.132803426751</v>
      </c>
      <c r="W24" s="9">
        <f t="shared" si="4"/>
        <v>2127.5537358492184</v>
      </c>
      <c r="X24" s="9">
        <f t="shared" si="4"/>
        <v>2301.6696663334592</v>
      </c>
      <c r="Y24" s="9">
        <f t="shared" si="4"/>
        <v>2352.1338753590899</v>
      </c>
      <c r="Z24" s="9">
        <f t="shared" si="4"/>
        <v>2734.9741498423327</v>
      </c>
      <c r="AA24" s="9">
        <f t="shared" si="4"/>
        <v>3112.8868568486978</v>
      </c>
      <c r="AB24" s="6">
        <f t="shared" si="4"/>
        <v>3446.3816190921598</v>
      </c>
    </row>
    <row r="25" spans="2:28" x14ac:dyDescent="0.25">
      <c r="B25" s="121" t="s">
        <v>16</v>
      </c>
      <c r="C25" s="15" t="str">
        <f>VLOOKUP(B25,'State Interconnection Mapping'!$A$3:$B$52,2,0)</f>
        <v>Eastern</v>
      </c>
      <c r="D25" s="9">
        <f t="shared" si="6"/>
        <v>3937.5868472568313</v>
      </c>
      <c r="E25" s="9">
        <f t="shared" si="6"/>
        <v>3760.8677694884582</v>
      </c>
      <c r="F25" s="9">
        <f t="shared" si="6"/>
        <v>3854.265606853502</v>
      </c>
      <c r="G25" s="9">
        <f t="shared" si="6"/>
        <v>4255.1074716984367</v>
      </c>
      <c r="H25" s="9">
        <f t="shared" si="6"/>
        <v>4603.3393326669184</v>
      </c>
      <c r="I25" s="9">
        <f t="shared" si="6"/>
        <v>4704.2677507181797</v>
      </c>
      <c r="J25" s="9">
        <f t="shared" si="6"/>
        <v>5469.9482996846655</v>
      </c>
      <c r="K25" s="9">
        <f t="shared" si="6"/>
        <v>6225.7737136973956</v>
      </c>
      <c r="L25" s="6">
        <f t="shared" si="6"/>
        <v>6892.7632381843196</v>
      </c>
      <c r="N25" s="8" t="s">
        <v>96</v>
      </c>
      <c r="O25" s="1" t="s">
        <v>131</v>
      </c>
      <c r="P25" s="20">
        <v>26165926.170000002</v>
      </c>
      <c r="Q25" s="23">
        <f t="shared" si="3"/>
        <v>9.635889355994489E-3</v>
      </c>
      <c r="S25" s="8" t="s">
        <v>19</v>
      </c>
      <c r="T25" s="113">
        <f t="shared" si="4"/>
        <v>915.17593887680061</v>
      </c>
      <c r="U25" s="9">
        <f t="shared" si="4"/>
        <v>874.10280088956256</v>
      </c>
      <c r="V25" s="9">
        <f t="shared" si="4"/>
        <v>895.81037378009182</v>
      </c>
      <c r="W25" s="9">
        <f t="shared" si="4"/>
        <v>988.97424399571776</v>
      </c>
      <c r="X25" s="9">
        <f t="shared" si="4"/>
        <v>1069.9104703371552</v>
      </c>
      <c r="Y25" s="9">
        <f t="shared" si="4"/>
        <v>1093.3683046230865</v>
      </c>
      <c r="Z25" s="9">
        <f t="shared" si="4"/>
        <v>1271.3281674685957</v>
      </c>
      <c r="AA25" s="9">
        <f t="shared" si="4"/>
        <v>1446.9974948328766</v>
      </c>
      <c r="AB25" s="6">
        <f t="shared" si="4"/>
        <v>1602.0195395449985</v>
      </c>
    </row>
    <row r="26" spans="2:28" x14ac:dyDescent="0.25">
      <c r="B26" s="121" t="s">
        <v>17</v>
      </c>
      <c r="C26" s="15" t="str">
        <f>VLOOKUP(B26,'State Interconnection Mapping'!$A$3:$B$52,2,0)</f>
        <v>Eastern</v>
      </c>
      <c r="D26" s="9">
        <f t="shared" si="6"/>
        <v>331.97424281375248</v>
      </c>
      <c r="E26" s="9">
        <f t="shared" si="6"/>
        <v>317.07522361528817</v>
      </c>
      <c r="F26" s="9">
        <f t="shared" si="6"/>
        <v>324.94950741967023</v>
      </c>
      <c r="G26" s="9">
        <f t="shared" si="6"/>
        <v>358.74410795340935</v>
      </c>
      <c r="H26" s="9">
        <f t="shared" si="6"/>
        <v>388.10320855310096</v>
      </c>
      <c r="I26" s="9">
        <f t="shared" si="6"/>
        <v>396.61238853075645</v>
      </c>
      <c r="J26" s="9">
        <f t="shared" si="6"/>
        <v>461.16619530138018</v>
      </c>
      <c r="K26" s="9">
        <f t="shared" si="6"/>
        <v>524.88912491525525</v>
      </c>
      <c r="L26" s="6">
        <f t="shared" si="6"/>
        <v>581.12238425542932</v>
      </c>
      <c r="N26" s="8" t="s">
        <v>97</v>
      </c>
      <c r="O26" s="1" t="s">
        <v>131</v>
      </c>
      <c r="P26" s="20">
        <v>19866744.600000001</v>
      </c>
      <c r="Q26" s="23">
        <f t="shared" si="3"/>
        <v>7.3161466399337856E-3</v>
      </c>
      <c r="S26" s="8" t="s">
        <v>18</v>
      </c>
      <c r="T26" s="113">
        <f t="shared" si="4"/>
        <v>694.8566056330277</v>
      </c>
      <c r="U26" s="9">
        <f t="shared" si="4"/>
        <v>663.67140939684134</v>
      </c>
      <c r="V26" s="9">
        <f t="shared" si="4"/>
        <v>680.15310409016649</v>
      </c>
      <c r="W26" s="9">
        <f t="shared" si="4"/>
        <v>750.88871663819305</v>
      </c>
      <c r="X26" s="9">
        <f t="shared" si="4"/>
        <v>812.34036666450379</v>
      </c>
      <c r="Y26" s="9">
        <f t="shared" si="4"/>
        <v>830.15096505876363</v>
      </c>
      <c r="Z26" s="9">
        <f t="shared" si="4"/>
        <v>965.26879430098995</v>
      </c>
      <c r="AA26" s="9">
        <f t="shared" si="4"/>
        <v>1098.6475112676885</v>
      </c>
      <c r="AB26" s="6">
        <f t="shared" si="4"/>
        <v>1216.3495696491177</v>
      </c>
    </row>
    <row r="27" spans="2:28" x14ac:dyDescent="0.25">
      <c r="B27" s="121" t="s">
        <v>18</v>
      </c>
      <c r="C27" s="15" t="str">
        <f>VLOOKUP(B27,'State Interconnection Mapping'!$A$3:$B$52,2,0)</f>
        <v>Eastern</v>
      </c>
      <c r="D27" s="9">
        <f t="shared" si="6"/>
        <v>1389.7132112660554</v>
      </c>
      <c r="E27" s="9">
        <f t="shared" si="6"/>
        <v>1327.3428187936827</v>
      </c>
      <c r="F27" s="9">
        <f t="shared" si="6"/>
        <v>1360.306208180333</v>
      </c>
      <c r="G27" s="9">
        <f t="shared" si="6"/>
        <v>1501.7774332763861</v>
      </c>
      <c r="H27" s="9">
        <f t="shared" si="6"/>
        <v>1624.6807333290076</v>
      </c>
      <c r="I27" s="9">
        <f t="shared" si="6"/>
        <v>1660.3019301175273</v>
      </c>
      <c r="J27" s="9">
        <f t="shared" si="6"/>
        <v>1930.5375886019799</v>
      </c>
      <c r="K27" s="9">
        <f t="shared" si="6"/>
        <v>2197.295022535377</v>
      </c>
      <c r="L27" s="6">
        <f t="shared" si="6"/>
        <v>2432.6991392982354</v>
      </c>
      <c r="N27" s="8" t="s">
        <v>98</v>
      </c>
      <c r="O27" s="1" t="s">
        <v>131</v>
      </c>
      <c r="P27" s="20">
        <v>4745761.5299999993</v>
      </c>
      <c r="Q27" s="23">
        <f t="shared" si="3"/>
        <v>1.7476787450942774E-3</v>
      </c>
      <c r="S27" s="8" t="s">
        <v>17</v>
      </c>
      <c r="T27" s="113">
        <f t="shared" si="4"/>
        <v>165.98712140687624</v>
      </c>
      <c r="U27" s="9">
        <f t="shared" si="4"/>
        <v>158.53761180764408</v>
      </c>
      <c r="V27" s="9">
        <f t="shared" si="4"/>
        <v>162.47475370983511</v>
      </c>
      <c r="W27" s="9">
        <f t="shared" si="4"/>
        <v>179.37205397670468</v>
      </c>
      <c r="X27" s="9">
        <f t="shared" si="4"/>
        <v>194.05160427655048</v>
      </c>
      <c r="Y27" s="9">
        <f t="shared" si="4"/>
        <v>198.30619426537822</v>
      </c>
      <c r="Z27" s="9">
        <f t="shared" si="4"/>
        <v>230.58309765069009</v>
      </c>
      <c r="AA27" s="9">
        <f t="shared" si="4"/>
        <v>262.44456245762763</v>
      </c>
      <c r="AB27" s="6">
        <f t="shared" si="4"/>
        <v>290.56119212771466</v>
      </c>
    </row>
    <row r="28" spans="2:28" x14ac:dyDescent="0.25">
      <c r="B28" s="121" t="s">
        <v>19</v>
      </c>
      <c r="C28" s="15" t="str">
        <f>VLOOKUP(B28,'State Interconnection Mapping'!$A$3:$B$52,2,0)</f>
        <v>Eastern</v>
      </c>
      <c r="D28" s="9">
        <f t="shared" si="6"/>
        <v>1830.3518777536012</v>
      </c>
      <c r="E28" s="9">
        <f t="shared" si="6"/>
        <v>1748.2056017791251</v>
      </c>
      <c r="F28" s="9">
        <f t="shared" si="6"/>
        <v>1791.6207475601836</v>
      </c>
      <c r="G28" s="9">
        <f t="shared" si="6"/>
        <v>1977.9484879914355</v>
      </c>
      <c r="H28" s="9">
        <f t="shared" si="6"/>
        <v>2139.8209406743104</v>
      </c>
      <c r="I28" s="9">
        <f t="shared" si="6"/>
        <v>2186.736609246173</v>
      </c>
      <c r="J28" s="9">
        <f t="shared" si="6"/>
        <v>2542.6563349371913</v>
      </c>
      <c r="K28" s="9">
        <f t="shared" si="6"/>
        <v>2893.9949896657531</v>
      </c>
      <c r="L28" s="6">
        <f t="shared" si="6"/>
        <v>3204.0390790899969</v>
      </c>
      <c r="N28" s="8" t="s">
        <v>99</v>
      </c>
      <c r="O28" s="1" t="s">
        <v>131</v>
      </c>
      <c r="P28" s="20">
        <v>72485602.620000005</v>
      </c>
      <c r="Q28" s="23">
        <f t="shared" si="3"/>
        <v>2.6693618342075461E-2</v>
      </c>
      <c r="S28" s="8" t="s">
        <v>20</v>
      </c>
      <c r="T28" s="113">
        <f t="shared" si="4"/>
        <v>2535.24675571647</v>
      </c>
      <c r="U28" s="9">
        <f t="shared" si="4"/>
        <v>2421.4647653846</v>
      </c>
      <c r="V28" s="9">
        <f t="shared" si="4"/>
        <v>2481.5997092870116</v>
      </c>
      <c r="W28" s="9">
        <f t="shared" si="4"/>
        <v>2739.6849469780691</v>
      </c>
      <c r="X28" s="9">
        <f t="shared" si="4"/>
        <v>2963.8968132820473</v>
      </c>
      <c r="Y28" s="9">
        <f t="shared" si="4"/>
        <v>3028.8803817339581</v>
      </c>
      <c r="Z28" s="9">
        <f t="shared" si="4"/>
        <v>3521.8699215163861</v>
      </c>
      <c r="AA28" s="9">
        <f t="shared" si="4"/>
        <v>4008.5141539093242</v>
      </c>
      <c r="AB28" s="6">
        <f t="shared" si="4"/>
        <v>4437.9606889693423</v>
      </c>
    </row>
    <row r="29" spans="2:28" x14ac:dyDescent="0.25">
      <c r="B29" s="121" t="s">
        <v>20</v>
      </c>
      <c r="C29" s="15" t="str">
        <f>VLOOKUP(B29,'State Interconnection Mapping'!$A$3:$B$52,2,0)</f>
        <v>Eastern</v>
      </c>
      <c r="D29" s="9">
        <f t="shared" si="6"/>
        <v>5070.4935114329401</v>
      </c>
      <c r="E29" s="9">
        <f t="shared" si="6"/>
        <v>4842.9295307692</v>
      </c>
      <c r="F29" s="9">
        <f t="shared" si="6"/>
        <v>4963.1994185740232</v>
      </c>
      <c r="G29" s="9">
        <f t="shared" si="6"/>
        <v>5479.3698939561382</v>
      </c>
      <c r="H29" s="9">
        <f t="shared" si="6"/>
        <v>5927.7936265640947</v>
      </c>
      <c r="I29" s="9">
        <f t="shared" si="6"/>
        <v>6057.7607634679161</v>
      </c>
      <c r="J29" s="9">
        <f t="shared" si="6"/>
        <v>7043.7398430327721</v>
      </c>
      <c r="K29" s="9">
        <f t="shared" si="6"/>
        <v>8017.0283078186485</v>
      </c>
      <c r="L29" s="6">
        <f t="shared" si="6"/>
        <v>8875.9213779386846</v>
      </c>
      <c r="N29" s="8" t="s">
        <v>100</v>
      </c>
      <c r="O29" s="1" t="s">
        <v>131</v>
      </c>
      <c r="P29" s="20">
        <v>33303252.030000001</v>
      </c>
      <c r="Q29" s="23">
        <f t="shared" si="3"/>
        <v>1.2264287901408493E-2</v>
      </c>
      <c r="S29" s="8" t="s">
        <v>21</v>
      </c>
      <c r="T29" s="113">
        <f t="shared" si="4"/>
        <v>1164.8100948610895</v>
      </c>
      <c r="U29" s="9">
        <f t="shared" si="4"/>
        <v>1112.5333645376563</v>
      </c>
      <c r="V29" s="9">
        <f t="shared" si="4"/>
        <v>1140.1621503958752</v>
      </c>
      <c r="W29" s="9">
        <f t="shared" si="4"/>
        <v>1258.7384939093138</v>
      </c>
      <c r="X29" s="9">
        <f t="shared" si="4"/>
        <v>1361.7518375491968</v>
      </c>
      <c r="Y29" s="9">
        <f t="shared" si="4"/>
        <v>1391.6083066925687</v>
      </c>
      <c r="Z29" s="9">
        <f t="shared" si="4"/>
        <v>1618.1105953966962</v>
      </c>
      <c r="AA29" s="9">
        <f t="shared" si="4"/>
        <v>1841.6975552139577</v>
      </c>
      <c r="AB29" s="6">
        <f t="shared" si="4"/>
        <v>2039.005236650931</v>
      </c>
    </row>
    <row r="30" spans="2:28" x14ac:dyDescent="0.25">
      <c r="B30" s="121" t="s">
        <v>21</v>
      </c>
      <c r="C30" s="15" t="str">
        <f>VLOOKUP(B30,'State Interconnection Mapping'!$A$3:$B$52,2,0)</f>
        <v>Eastern</v>
      </c>
      <c r="D30" s="9">
        <f t="shared" ref="D30:L39" si="7">VLOOKUP($B30,$S$8:$AB$57,D$9-2020,0)*2</f>
        <v>2329.620189722179</v>
      </c>
      <c r="E30" s="9">
        <f t="shared" si="7"/>
        <v>2225.0667290753127</v>
      </c>
      <c r="F30" s="9">
        <f t="shared" si="7"/>
        <v>2280.3243007917504</v>
      </c>
      <c r="G30" s="9">
        <f t="shared" si="7"/>
        <v>2517.4769878186275</v>
      </c>
      <c r="H30" s="9">
        <f t="shared" si="7"/>
        <v>2723.5036750983936</v>
      </c>
      <c r="I30" s="9">
        <f t="shared" si="7"/>
        <v>2783.2166133851374</v>
      </c>
      <c r="J30" s="9">
        <f t="shared" si="7"/>
        <v>3236.2211907933925</v>
      </c>
      <c r="K30" s="9">
        <f t="shared" si="7"/>
        <v>3683.3951104279154</v>
      </c>
      <c r="L30" s="6">
        <f t="shared" si="7"/>
        <v>4078.010473301862</v>
      </c>
      <c r="N30" s="8" t="s">
        <v>101</v>
      </c>
      <c r="O30" s="1" t="s">
        <v>131</v>
      </c>
      <c r="P30" s="20">
        <v>77714140</v>
      </c>
      <c r="Q30" s="23">
        <f t="shared" si="3"/>
        <v>2.8619084590051243E-2</v>
      </c>
      <c r="S30" s="8" t="s">
        <v>23</v>
      </c>
      <c r="T30" s="113">
        <f t="shared" si="4"/>
        <v>2718.1193807711156</v>
      </c>
      <c r="U30" s="9">
        <f t="shared" si="4"/>
        <v>2596.1300586641378</v>
      </c>
      <c r="V30" s="9">
        <f t="shared" si="4"/>
        <v>2660.6026612280384</v>
      </c>
      <c r="W30" s="9">
        <f t="shared" si="4"/>
        <v>2937.304124262052</v>
      </c>
      <c r="X30" s="9">
        <f t="shared" si="4"/>
        <v>3177.6888591307797</v>
      </c>
      <c r="Y30" s="9">
        <f t="shared" si="4"/>
        <v>3247.3598276242938</v>
      </c>
      <c r="Z30" s="9">
        <f t="shared" si="4"/>
        <v>3775.9097289617512</v>
      </c>
      <c r="AA30" s="9">
        <f t="shared" si="4"/>
        <v>4297.6566226813384</v>
      </c>
      <c r="AB30" s="6">
        <f t="shared" si="4"/>
        <v>4758.080030114812</v>
      </c>
    </row>
    <row r="31" spans="2:28" x14ac:dyDescent="0.25">
      <c r="B31" s="121" t="s">
        <v>22</v>
      </c>
      <c r="C31" s="15" t="str">
        <f>VLOOKUP(B31,'State Interconnection Mapping'!$A$3:$B$52,2,0)</f>
        <v>Eastern</v>
      </c>
      <c r="D31" s="9">
        <f t="shared" si="7"/>
        <v>3337.0145840428404</v>
      </c>
      <c r="E31" s="9">
        <f t="shared" si="7"/>
        <v>3187.2492169113207</v>
      </c>
      <c r="F31" s="9">
        <f t="shared" si="7"/>
        <v>3266.4017429368332</v>
      </c>
      <c r="G31" s="9">
        <f t="shared" si="7"/>
        <v>3606.1060341105867</v>
      </c>
      <c r="H31" s="9">
        <f t="shared" si="7"/>
        <v>3901.2245530810987</v>
      </c>
      <c r="I31" s="9">
        <f t="shared" si="7"/>
        <v>3986.7590735999456</v>
      </c>
      <c r="J31" s="9">
        <f t="shared" si="7"/>
        <v>4635.6557856557374</v>
      </c>
      <c r="K31" s="9">
        <f t="shared" si="7"/>
        <v>5276.2004967667617</v>
      </c>
      <c r="L31" s="6">
        <f t="shared" si="7"/>
        <v>5841.4588280635726</v>
      </c>
      <c r="N31" s="8" t="s">
        <v>102</v>
      </c>
      <c r="O31" s="1" t="s">
        <v>131</v>
      </c>
      <c r="P31" s="20">
        <v>47704530.640000008</v>
      </c>
      <c r="Q31" s="23">
        <f t="shared" si="3"/>
        <v>1.7567716733593804E-2</v>
      </c>
      <c r="S31" s="8" t="s">
        <v>22</v>
      </c>
      <c r="T31" s="113">
        <f t="shared" si="4"/>
        <v>1668.5072920214202</v>
      </c>
      <c r="U31" s="9">
        <f t="shared" si="4"/>
        <v>1593.6246084556603</v>
      </c>
      <c r="V31" s="9">
        <f t="shared" si="4"/>
        <v>1633.2008714684166</v>
      </c>
      <c r="W31" s="9">
        <f t="shared" si="4"/>
        <v>1803.0530170552934</v>
      </c>
      <c r="X31" s="9">
        <f t="shared" si="4"/>
        <v>1950.6122765405494</v>
      </c>
      <c r="Y31" s="9">
        <f t="shared" si="4"/>
        <v>1993.3795367999728</v>
      </c>
      <c r="Z31" s="9">
        <f t="shared" si="4"/>
        <v>2317.8278928278687</v>
      </c>
      <c r="AA31" s="9">
        <f t="shared" si="4"/>
        <v>2638.1002483833809</v>
      </c>
      <c r="AB31" s="6">
        <f t="shared" si="4"/>
        <v>2920.7294140317863</v>
      </c>
    </row>
    <row r="32" spans="2:28" x14ac:dyDescent="0.25">
      <c r="B32" s="121" t="s">
        <v>23</v>
      </c>
      <c r="C32" s="15" t="str">
        <f>VLOOKUP(B32,'State Interconnection Mapping'!$A$3:$B$52,2,0)</f>
        <v>Eastern</v>
      </c>
      <c r="D32" s="9">
        <f t="shared" si="7"/>
        <v>5436.2387615422313</v>
      </c>
      <c r="E32" s="9">
        <f t="shared" si="7"/>
        <v>5192.2601173282756</v>
      </c>
      <c r="F32" s="9">
        <f t="shared" si="7"/>
        <v>5321.2053224560768</v>
      </c>
      <c r="G32" s="9">
        <f t="shared" si="7"/>
        <v>5874.6082485241041</v>
      </c>
      <c r="H32" s="9">
        <f t="shared" si="7"/>
        <v>6355.3777182615595</v>
      </c>
      <c r="I32" s="9">
        <f t="shared" si="7"/>
        <v>6494.7196552485875</v>
      </c>
      <c r="J32" s="9">
        <f t="shared" si="7"/>
        <v>7551.8194579235023</v>
      </c>
      <c r="K32" s="9">
        <f t="shared" si="7"/>
        <v>8595.3132453626768</v>
      </c>
      <c r="L32" s="6">
        <f t="shared" si="7"/>
        <v>9516.1600602296239</v>
      </c>
      <c r="N32" s="8" t="s">
        <v>103</v>
      </c>
      <c r="O32" s="1" t="s">
        <v>132</v>
      </c>
      <c r="P32" s="20">
        <v>15432987.028695652</v>
      </c>
      <c r="Q32" s="23">
        <f t="shared" si="3"/>
        <v>5.6833667753565112E-3</v>
      </c>
      <c r="S32" s="8" t="s">
        <v>24</v>
      </c>
      <c r="T32" s="113">
        <f t="shared" si="4"/>
        <v>539.78209301276297</v>
      </c>
      <c r="U32" s="9">
        <f t="shared" si="4"/>
        <v>515.55664799443855</v>
      </c>
      <c r="V32" s="9">
        <f t="shared" si="4"/>
        <v>528.36004309184204</v>
      </c>
      <c r="W32" s="9">
        <f t="shared" si="4"/>
        <v>583.30924654214141</v>
      </c>
      <c r="X32" s="9">
        <f t="shared" si="4"/>
        <v>631.04643433223362</v>
      </c>
      <c r="Y32" s="9">
        <f t="shared" si="4"/>
        <v>644.88215525814314</v>
      </c>
      <c r="Z32" s="9">
        <f t="shared" si="4"/>
        <v>749.84508441568573</v>
      </c>
      <c r="AA32" s="9">
        <f t="shared" si="4"/>
        <v>853.45702740362378</v>
      </c>
      <c r="AB32" s="6">
        <f t="shared" si="4"/>
        <v>944.89094759663703</v>
      </c>
    </row>
    <row r="33" spans="2:28" x14ac:dyDescent="0.25">
      <c r="B33" s="121" t="s">
        <v>24</v>
      </c>
      <c r="C33" s="15" t="str">
        <f>VLOOKUP(B33,'State Interconnection Mapping'!$A$3:$B$52,2,0)</f>
        <v>Western</v>
      </c>
      <c r="D33" s="9">
        <f t="shared" si="7"/>
        <v>1079.5641860255259</v>
      </c>
      <c r="E33" s="9">
        <f t="shared" si="7"/>
        <v>1031.1132959888771</v>
      </c>
      <c r="F33" s="9">
        <f t="shared" si="7"/>
        <v>1056.7200861836841</v>
      </c>
      <c r="G33" s="9">
        <f t="shared" si="7"/>
        <v>1166.6184930842828</v>
      </c>
      <c r="H33" s="9">
        <f t="shared" si="7"/>
        <v>1262.0928686644672</v>
      </c>
      <c r="I33" s="9">
        <f t="shared" si="7"/>
        <v>1289.7643105162863</v>
      </c>
      <c r="J33" s="9">
        <f t="shared" si="7"/>
        <v>1499.6901688313715</v>
      </c>
      <c r="K33" s="9">
        <f t="shared" si="7"/>
        <v>1706.9140548072476</v>
      </c>
      <c r="L33" s="6">
        <f t="shared" si="7"/>
        <v>1889.7818951932741</v>
      </c>
      <c r="N33" s="8" t="s">
        <v>65</v>
      </c>
      <c r="O33" s="1" t="s">
        <v>132</v>
      </c>
      <c r="P33" s="20">
        <v>29629453</v>
      </c>
      <c r="Q33" s="23">
        <f t="shared" si="3"/>
        <v>1.0911371106518679E-2</v>
      </c>
      <c r="S33" s="8" t="s">
        <v>65</v>
      </c>
      <c r="T33" s="113">
        <f t="shared" si="4"/>
        <v>1036.3157906778208</v>
      </c>
      <c r="U33" s="9">
        <f t="shared" si="4"/>
        <v>989.80589060210025</v>
      </c>
      <c r="V33" s="9">
        <f t="shared" si="4"/>
        <v>1014.3868477799676</v>
      </c>
      <c r="W33" s="9">
        <f t="shared" si="4"/>
        <v>1119.8826171984742</v>
      </c>
      <c r="X33" s="9">
        <f t="shared" si="4"/>
        <v>1211.5321960744732</v>
      </c>
      <c r="Y33" s="9">
        <f t="shared" si="4"/>
        <v>1238.0950929481057</v>
      </c>
      <c r="Z33" s="9">
        <f t="shared" si="4"/>
        <v>1439.6111164134988</v>
      </c>
      <c r="AA33" s="9">
        <f t="shared" si="4"/>
        <v>1638.5334111897196</v>
      </c>
      <c r="AB33" s="6">
        <f t="shared" si="4"/>
        <v>1814.0753873429649</v>
      </c>
    </row>
    <row r="34" spans="2:28" x14ac:dyDescent="0.25">
      <c r="B34" s="121" t="s">
        <v>25</v>
      </c>
      <c r="C34" s="15" t="str">
        <f>VLOOKUP(B34,'State Interconnection Mapping'!$A$3:$B$52,2,0)</f>
        <v>Eastern</v>
      </c>
      <c r="D34" s="9">
        <f t="shared" si="7"/>
        <v>1757.3626056040202</v>
      </c>
      <c r="E34" s="9">
        <f t="shared" si="7"/>
        <v>1678.4920915013731</v>
      </c>
      <c r="F34" s="9">
        <f t="shared" si="7"/>
        <v>1720.1759636790648</v>
      </c>
      <c r="G34" s="9">
        <f t="shared" si="7"/>
        <v>1899.0734791788982</v>
      </c>
      <c r="H34" s="9">
        <f t="shared" si="7"/>
        <v>2054.4909148532997</v>
      </c>
      <c r="I34" s="9">
        <f t="shared" si="7"/>
        <v>2099.5357188427338</v>
      </c>
      <c r="J34" s="9">
        <f t="shared" si="7"/>
        <v>2441.2623694001613</v>
      </c>
      <c r="K34" s="9">
        <f t="shared" si="7"/>
        <v>2778.5906291886399</v>
      </c>
      <c r="L34" s="6">
        <f t="shared" si="7"/>
        <v>3076.271034505799</v>
      </c>
      <c r="N34" s="8" t="s">
        <v>104</v>
      </c>
      <c r="O34" s="1" t="s">
        <v>131</v>
      </c>
      <c r="P34" s="20">
        <v>80440253.99000001</v>
      </c>
      <c r="Q34" s="23">
        <f t="shared" si="3"/>
        <v>2.962300597272282E-2</v>
      </c>
      <c r="S34" s="8" t="s">
        <v>31</v>
      </c>
      <c r="T34" s="113">
        <f t="shared" si="4"/>
        <v>2813.4675795726503</v>
      </c>
      <c r="U34" s="9">
        <f t="shared" si="4"/>
        <v>2687.1990259432437</v>
      </c>
      <c r="V34" s="9">
        <f t="shared" si="4"/>
        <v>2753.9332460689056</v>
      </c>
      <c r="W34" s="9">
        <f t="shared" si="4"/>
        <v>3040.3410473501222</v>
      </c>
      <c r="X34" s="9">
        <f t="shared" si="4"/>
        <v>3289.158175457816</v>
      </c>
      <c r="Y34" s="9">
        <f t="shared" si="4"/>
        <v>3361.2731136318412</v>
      </c>
      <c r="Z34" s="9">
        <f t="shared" si="4"/>
        <v>3908.3638787097866</v>
      </c>
      <c r="AA34" s="9">
        <f t="shared" si="4"/>
        <v>4448.4129952450412</v>
      </c>
      <c r="AB34" s="6">
        <f t="shared" si="4"/>
        <v>4924.9874749586415</v>
      </c>
    </row>
    <row r="35" spans="2:28" x14ac:dyDescent="0.25">
      <c r="B35" s="121" t="s">
        <v>26</v>
      </c>
      <c r="C35" s="15" t="str">
        <f>VLOOKUP(B35,'State Interconnection Mapping'!$A$3:$B$52,2,0)</f>
        <v>Western</v>
      </c>
      <c r="D35" s="9">
        <f t="shared" si="7"/>
        <v>1972.4129732167535</v>
      </c>
      <c r="E35" s="9">
        <f t="shared" si="7"/>
        <v>1883.8909887815225</v>
      </c>
      <c r="F35" s="9">
        <f t="shared" si="7"/>
        <v>1930.6757615967658</v>
      </c>
      <c r="G35" s="9">
        <f t="shared" si="7"/>
        <v>2131.4651600526618</v>
      </c>
      <c r="H35" s="9">
        <f t="shared" si="7"/>
        <v>2305.9011958546794</v>
      </c>
      <c r="I35" s="9">
        <f t="shared" si="7"/>
        <v>2356.4581813518344</v>
      </c>
      <c r="J35" s="9">
        <f t="shared" si="7"/>
        <v>2740.0022926832066</v>
      </c>
      <c r="K35" s="9">
        <f t="shared" si="7"/>
        <v>3118.6097773979163</v>
      </c>
      <c r="L35" s="6">
        <f t="shared" si="7"/>
        <v>3452.7176566982034</v>
      </c>
      <c r="N35" s="8" t="s">
        <v>105</v>
      </c>
      <c r="O35" s="1" t="s">
        <v>131</v>
      </c>
      <c r="P35" s="20">
        <v>28513455.800000001</v>
      </c>
      <c r="Q35" s="23">
        <f t="shared" si="3"/>
        <v>1.0500392894972359E-2</v>
      </c>
      <c r="S35" s="8" t="s">
        <v>32</v>
      </c>
      <c r="T35" s="113">
        <f t="shared" si="4"/>
        <v>997.28282166849647</v>
      </c>
      <c r="U35" s="9">
        <f t="shared" si="4"/>
        <v>952.52472302686851</v>
      </c>
      <c r="V35" s="9">
        <f t="shared" si="4"/>
        <v>976.17983525633883</v>
      </c>
      <c r="W35" s="9">
        <f t="shared" si="4"/>
        <v>1077.7020928019499</v>
      </c>
      <c r="X35" s="9">
        <f t="shared" si="4"/>
        <v>1165.8996783722746</v>
      </c>
      <c r="Y35" s="9">
        <f t="shared" si="4"/>
        <v>1191.4620802811548</v>
      </c>
      <c r="Z35" s="9">
        <f t="shared" si="4"/>
        <v>1385.3879765193421</v>
      </c>
      <c r="AA35" s="9">
        <f t="shared" si="4"/>
        <v>1576.8178371967008</v>
      </c>
      <c r="AB35" s="6">
        <f t="shared" si="4"/>
        <v>1745.7480019921902</v>
      </c>
    </row>
    <row r="36" spans="2:28" x14ac:dyDescent="0.25">
      <c r="B36" s="121" t="s">
        <v>27</v>
      </c>
      <c r="C36" s="15" t="str">
        <f>VLOOKUP(B36,'State Interconnection Mapping'!$A$3:$B$52,2,0)</f>
        <v>Eastern</v>
      </c>
      <c r="D36" s="9">
        <f t="shared" si="7"/>
        <v>580.65702235368803</v>
      </c>
      <c r="E36" s="9">
        <f t="shared" si="7"/>
        <v>554.59710863735688</v>
      </c>
      <c r="F36" s="9">
        <f t="shared" si="7"/>
        <v>568.37003917638538</v>
      </c>
      <c r="G36" s="9">
        <f t="shared" si="7"/>
        <v>627.48026396741659</v>
      </c>
      <c r="H36" s="9">
        <f t="shared" si="7"/>
        <v>678.83234414299659</v>
      </c>
      <c r="I36" s="9">
        <f t="shared" si="7"/>
        <v>693.71577325068517</v>
      </c>
      <c r="J36" s="9">
        <f t="shared" si="7"/>
        <v>806.6270066744637</v>
      </c>
      <c r="K36" s="9">
        <f t="shared" si="7"/>
        <v>918.08495067527315</v>
      </c>
      <c r="L36" s="6">
        <f t="shared" si="7"/>
        <v>1016.4426926764411</v>
      </c>
      <c r="N36" s="8" t="s">
        <v>106</v>
      </c>
      <c r="O36" s="1" t="s">
        <v>131</v>
      </c>
      <c r="P36" s="20">
        <v>25122502.809999999</v>
      </c>
      <c r="Q36" s="23">
        <f t="shared" si="3"/>
        <v>9.2516372571734059E-3</v>
      </c>
      <c r="S36" s="8" t="s">
        <v>25</v>
      </c>
      <c r="T36" s="113">
        <f t="shared" si="4"/>
        <v>878.68130280201012</v>
      </c>
      <c r="U36" s="9">
        <f t="shared" si="4"/>
        <v>839.24604575068656</v>
      </c>
      <c r="V36" s="9">
        <f t="shared" si="4"/>
        <v>860.0879818395324</v>
      </c>
      <c r="W36" s="9">
        <f t="shared" si="4"/>
        <v>949.5367395894491</v>
      </c>
      <c r="X36" s="9">
        <f t="shared" si="4"/>
        <v>1027.2454574266499</v>
      </c>
      <c r="Y36" s="9">
        <f t="shared" si="4"/>
        <v>1049.7678594213669</v>
      </c>
      <c r="Z36" s="9">
        <f t="shared" si="4"/>
        <v>1220.6311847000807</v>
      </c>
      <c r="AA36" s="9">
        <f t="shared" si="4"/>
        <v>1389.29531459432</v>
      </c>
      <c r="AB36" s="6">
        <f t="shared" si="4"/>
        <v>1538.1355172528995</v>
      </c>
    </row>
    <row r="37" spans="2:28" x14ac:dyDescent="0.25">
      <c r="B37" s="121" t="s">
        <v>28</v>
      </c>
      <c r="C37" s="15" t="str">
        <f>VLOOKUP(B37,'State Interconnection Mapping'!$A$3:$B$52,2,0)</f>
        <v>Eastern</v>
      </c>
      <c r="D37" s="9">
        <f t="shared" si="7"/>
        <v>2549.0664053725063</v>
      </c>
      <c r="E37" s="9">
        <f t="shared" si="7"/>
        <v>2434.6641885321096</v>
      </c>
      <c r="F37" s="9">
        <f t="shared" si="7"/>
        <v>2495.1269284784139</v>
      </c>
      <c r="G37" s="9">
        <f t="shared" si="7"/>
        <v>2754.6189907944286</v>
      </c>
      <c r="H37" s="9">
        <f t="shared" si="7"/>
        <v>2980.053037714184</v>
      </c>
      <c r="I37" s="9">
        <f t="shared" si="7"/>
        <v>3045.3908320998735</v>
      </c>
      <c r="J37" s="9">
        <f t="shared" si="7"/>
        <v>3541.0676616731362</v>
      </c>
      <c r="K37" s="9">
        <f t="shared" si="7"/>
        <v>4030.3645955372976</v>
      </c>
      <c r="L37" s="6">
        <f t="shared" si="7"/>
        <v>4462.1520469783918</v>
      </c>
      <c r="N37" s="8" t="s">
        <v>107</v>
      </c>
      <c r="O37" s="1" t="s">
        <v>131</v>
      </c>
      <c r="P37" s="20">
        <v>8300823.9900000002</v>
      </c>
      <c r="Q37" s="23">
        <f t="shared" si="3"/>
        <v>3.0568694955247101E-3</v>
      </c>
      <c r="S37" s="8" t="s">
        <v>27</v>
      </c>
      <c r="T37" s="113">
        <f t="shared" si="4"/>
        <v>290.32851117684402</v>
      </c>
      <c r="U37" s="9">
        <f t="shared" si="4"/>
        <v>277.29855431867844</v>
      </c>
      <c r="V37" s="9">
        <f t="shared" si="4"/>
        <v>284.18501958819269</v>
      </c>
      <c r="W37" s="9">
        <f t="shared" si="4"/>
        <v>313.7401319837083</v>
      </c>
      <c r="X37" s="9">
        <f t="shared" si="4"/>
        <v>339.41617207149829</v>
      </c>
      <c r="Y37" s="9">
        <f t="shared" si="4"/>
        <v>346.85788662534259</v>
      </c>
      <c r="Z37" s="9">
        <f t="shared" si="4"/>
        <v>403.31350333723185</v>
      </c>
      <c r="AA37" s="9">
        <f t="shared" si="4"/>
        <v>459.04247533763657</v>
      </c>
      <c r="AB37" s="6">
        <f t="shared" si="4"/>
        <v>508.22134633822054</v>
      </c>
    </row>
    <row r="38" spans="2:28" x14ac:dyDescent="0.25">
      <c r="B38" s="121" t="s">
        <v>29</v>
      </c>
      <c r="C38" s="15" t="str">
        <f>VLOOKUP(B38,'State Interconnection Mapping'!$A$3:$B$52,2,0)</f>
        <v>Western</v>
      </c>
      <c r="D38" s="9">
        <f t="shared" si="7"/>
        <v>1349.5749356251611</v>
      </c>
      <c r="E38" s="9">
        <f t="shared" si="7"/>
        <v>1289.0059507990509</v>
      </c>
      <c r="F38" s="9">
        <f t="shared" si="7"/>
        <v>1321.017277847563</v>
      </c>
      <c r="G38" s="9">
        <f t="shared" si="7"/>
        <v>1458.402472112127</v>
      </c>
      <c r="H38" s="9">
        <f t="shared" si="7"/>
        <v>1577.756027876002</v>
      </c>
      <c r="I38" s="9">
        <f t="shared" si="7"/>
        <v>1612.3483984262982</v>
      </c>
      <c r="J38" s="9">
        <f t="shared" si="7"/>
        <v>1874.7789980969501</v>
      </c>
      <c r="K38" s="9">
        <f t="shared" si="7"/>
        <v>2133.8318327463539</v>
      </c>
      <c r="L38" s="6">
        <f t="shared" si="7"/>
        <v>2362.4369097871818</v>
      </c>
      <c r="N38" s="8" t="s">
        <v>108</v>
      </c>
      <c r="O38" s="1" t="s">
        <v>131</v>
      </c>
      <c r="P38" s="20">
        <v>36440361.100000009</v>
      </c>
      <c r="Q38" s="23">
        <f t="shared" si="3"/>
        <v>1.3419562730963928E-2</v>
      </c>
      <c r="S38" s="8" t="s">
        <v>28</v>
      </c>
      <c r="T38" s="113">
        <f t="shared" si="4"/>
        <v>1274.5332026862532</v>
      </c>
      <c r="U38" s="9">
        <f t="shared" si="4"/>
        <v>1217.3320942660548</v>
      </c>
      <c r="V38" s="9">
        <f t="shared" si="4"/>
        <v>1247.563464239207</v>
      </c>
      <c r="W38" s="9">
        <f t="shared" si="4"/>
        <v>1377.3094953972143</v>
      </c>
      <c r="X38" s="9">
        <f t="shared" si="4"/>
        <v>1490.026518857092</v>
      </c>
      <c r="Y38" s="9">
        <f t="shared" si="4"/>
        <v>1522.6954160499367</v>
      </c>
      <c r="Z38" s="9">
        <f t="shared" si="4"/>
        <v>1770.5338308365681</v>
      </c>
      <c r="AA38" s="9">
        <f t="shared" si="4"/>
        <v>2015.1822977686488</v>
      </c>
      <c r="AB38" s="6">
        <f t="shared" si="4"/>
        <v>2231.0760234891959</v>
      </c>
    </row>
    <row r="39" spans="2:28" x14ac:dyDescent="0.25">
      <c r="B39" s="121" t="s">
        <v>30</v>
      </c>
      <c r="C39" s="15" t="str">
        <f>VLOOKUP(B39,'State Interconnection Mapping'!$A$3:$B$52,2,0)</f>
        <v>Eastern</v>
      </c>
      <c r="D39" s="9">
        <f t="shared" si="7"/>
        <v>4245.8763559839836</v>
      </c>
      <c r="E39" s="9">
        <f t="shared" si="7"/>
        <v>4055.3212309660416</v>
      </c>
      <c r="F39" s="9">
        <f t="shared" si="7"/>
        <v>4156.0315606047498</v>
      </c>
      <c r="G39" s="9">
        <f t="shared" si="7"/>
        <v>4588.2569469779555</v>
      </c>
      <c r="H39" s="9">
        <f t="shared" si="7"/>
        <v>4963.7532807074394</v>
      </c>
      <c r="I39" s="9">
        <f t="shared" si="7"/>
        <v>5072.583790477468</v>
      </c>
      <c r="J39" s="9">
        <f t="shared" si="7"/>
        <v>5898.2125486998984</v>
      </c>
      <c r="K39" s="9">
        <f t="shared" si="7"/>
        <v>6713.2145738219961</v>
      </c>
      <c r="L39" s="6">
        <f t="shared" si="7"/>
        <v>7432.4253903861954</v>
      </c>
      <c r="N39" s="8" t="s">
        <v>109</v>
      </c>
      <c r="O39" s="1" t="s">
        <v>132</v>
      </c>
      <c r="P39" s="20">
        <v>19292945.009999998</v>
      </c>
      <c r="Q39" s="23">
        <f t="shared" si="3"/>
        <v>7.1048386462540403E-3</v>
      </c>
      <c r="S39" s="8" t="s">
        <v>29</v>
      </c>
      <c r="T39" s="113">
        <f t="shared" si="4"/>
        <v>674.78746781258053</v>
      </c>
      <c r="U39" s="9">
        <f t="shared" si="4"/>
        <v>644.50297539952544</v>
      </c>
      <c r="V39" s="9">
        <f t="shared" si="4"/>
        <v>660.50863892378152</v>
      </c>
      <c r="W39" s="9">
        <f t="shared" si="4"/>
        <v>729.20123605606352</v>
      </c>
      <c r="X39" s="9">
        <f t="shared" si="4"/>
        <v>788.878013938001</v>
      </c>
      <c r="Y39" s="9">
        <f t="shared" si="4"/>
        <v>806.17419921314911</v>
      </c>
      <c r="Z39" s="9">
        <f t="shared" si="4"/>
        <v>937.38949904847505</v>
      </c>
      <c r="AA39" s="9">
        <f t="shared" si="4"/>
        <v>1066.915916373177</v>
      </c>
      <c r="AB39" s="6">
        <f t="shared" si="4"/>
        <v>1181.2184548935909</v>
      </c>
    </row>
    <row r="40" spans="2:28" x14ac:dyDescent="0.25">
      <c r="B40" s="121" t="s">
        <v>31</v>
      </c>
      <c r="C40" s="15" t="str">
        <f>VLOOKUP(B40,'State Interconnection Mapping'!$A$3:$B$52,2,0)</f>
        <v>Eastern</v>
      </c>
      <c r="D40" s="9">
        <f t="shared" ref="D40:L49" si="8">VLOOKUP($B40,$S$8:$AB$57,D$9-2020,0)*2</f>
        <v>5626.9351591453005</v>
      </c>
      <c r="E40" s="9">
        <f t="shared" si="8"/>
        <v>5374.3980518864873</v>
      </c>
      <c r="F40" s="9">
        <f t="shared" si="8"/>
        <v>5507.8664921378113</v>
      </c>
      <c r="G40" s="9">
        <f t="shared" si="8"/>
        <v>6080.6820947002443</v>
      </c>
      <c r="H40" s="9">
        <f t="shared" si="8"/>
        <v>6578.316350915632</v>
      </c>
      <c r="I40" s="9">
        <f t="shared" si="8"/>
        <v>6722.5462272636823</v>
      </c>
      <c r="J40" s="9">
        <f t="shared" si="8"/>
        <v>7816.7277574195732</v>
      </c>
      <c r="K40" s="9">
        <f t="shared" si="8"/>
        <v>8896.8259904900824</v>
      </c>
      <c r="L40" s="6">
        <f t="shared" si="8"/>
        <v>9849.9749499172831</v>
      </c>
      <c r="N40" s="8" t="s">
        <v>110</v>
      </c>
      <c r="O40" s="1" t="s">
        <v>132</v>
      </c>
      <c r="P40" s="20">
        <v>28196770.720000003</v>
      </c>
      <c r="Q40" s="23">
        <f t="shared" si="3"/>
        <v>1.038377014018247E-2</v>
      </c>
      <c r="S40" s="8" t="s">
        <v>26</v>
      </c>
      <c r="T40" s="113">
        <f t="shared" si="4"/>
        <v>986.20648660837674</v>
      </c>
      <c r="U40" s="9">
        <f t="shared" si="4"/>
        <v>941.94549439076127</v>
      </c>
      <c r="V40" s="9">
        <f t="shared" si="4"/>
        <v>965.33788079838291</v>
      </c>
      <c r="W40" s="9">
        <f t="shared" si="4"/>
        <v>1065.7325800263309</v>
      </c>
      <c r="X40" s="9">
        <f t="shared" si="4"/>
        <v>1152.9505979273397</v>
      </c>
      <c r="Y40" s="9">
        <f t="shared" si="4"/>
        <v>1178.2290906759172</v>
      </c>
      <c r="Z40" s="9">
        <f t="shared" si="4"/>
        <v>1370.0011463416033</v>
      </c>
      <c r="AA40" s="9">
        <f t="shared" si="4"/>
        <v>1559.3048886989582</v>
      </c>
      <c r="AB40" s="6">
        <f t="shared" si="4"/>
        <v>1726.3588283491017</v>
      </c>
    </row>
    <row r="41" spans="2:28" x14ac:dyDescent="0.25">
      <c r="B41" s="121" t="s">
        <v>32</v>
      </c>
      <c r="C41" s="15" t="str">
        <f>VLOOKUP(B41,'State Interconnection Mapping'!$A$3:$B$52,2,0)</f>
        <v>Eastern</v>
      </c>
      <c r="D41" s="9">
        <f t="shared" si="8"/>
        <v>1994.5656433369929</v>
      </c>
      <c r="E41" s="9">
        <f t="shared" si="8"/>
        <v>1905.049446053737</v>
      </c>
      <c r="F41" s="9">
        <f t="shared" si="8"/>
        <v>1952.3596705126777</v>
      </c>
      <c r="G41" s="9">
        <f t="shared" si="8"/>
        <v>2155.4041856038998</v>
      </c>
      <c r="H41" s="9">
        <f t="shared" si="8"/>
        <v>2331.7993567445492</v>
      </c>
      <c r="I41" s="9">
        <f t="shared" si="8"/>
        <v>2382.9241605623097</v>
      </c>
      <c r="J41" s="9">
        <f t="shared" si="8"/>
        <v>2770.7759530386843</v>
      </c>
      <c r="K41" s="9">
        <f t="shared" si="8"/>
        <v>3153.6356743934016</v>
      </c>
      <c r="L41" s="6">
        <f t="shared" si="8"/>
        <v>3491.4960039843804</v>
      </c>
      <c r="N41" s="8" t="s">
        <v>111</v>
      </c>
      <c r="O41" s="1" t="s">
        <v>131</v>
      </c>
      <c r="P41" s="20">
        <v>60697229.100000009</v>
      </c>
      <c r="Q41" s="23">
        <f t="shared" si="3"/>
        <v>2.2352420473219163E-2</v>
      </c>
      <c r="S41" s="8" t="s">
        <v>30</v>
      </c>
      <c r="T41" s="113">
        <f t="shared" ref="T41:AB57" si="9">T$6*$Q41*10^-3</f>
        <v>2122.9381779919918</v>
      </c>
      <c r="U41" s="9">
        <f t="shared" si="9"/>
        <v>2027.6606154830208</v>
      </c>
      <c r="V41" s="9">
        <f t="shared" si="9"/>
        <v>2078.0157803023749</v>
      </c>
      <c r="W41" s="9">
        <f t="shared" si="9"/>
        <v>2294.1284734889778</v>
      </c>
      <c r="X41" s="9">
        <f t="shared" si="9"/>
        <v>2481.8766403537197</v>
      </c>
      <c r="Y41" s="9">
        <f t="shared" si="9"/>
        <v>2536.291895238734</v>
      </c>
      <c r="Z41" s="9">
        <f t="shared" si="9"/>
        <v>2949.1062743499492</v>
      </c>
      <c r="AA41" s="9">
        <f t="shared" si="9"/>
        <v>3356.607286910998</v>
      </c>
      <c r="AB41" s="6">
        <f t="shared" si="9"/>
        <v>3716.2126951930977</v>
      </c>
    </row>
    <row r="42" spans="2:28" x14ac:dyDescent="0.25">
      <c r="B42" s="121" t="s">
        <v>33</v>
      </c>
      <c r="C42" s="15" t="str">
        <f>VLOOKUP(B42,'State Interconnection Mapping'!$A$3:$B$52,2,0)</f>
        <v>Eastern</v>
      </c>
      <c r="D42" s="9">
        <f t="shared" si="8"/>
        <v>7723.7984621627238</v>
      </c>
      <c r="E42" s="9">
        <f t="shared" si="8"/>
        <v>7377.1540339761859</v>
      </c>
      <c r="F42" s="9">
        <f t="shared" si="8"/>
        <v>7560.3591544199453</v>
      </c>
      <c r="G42" s="9">
        <f t="shared" si="8"/>
        <v>8346.6330575382053</v>
      </c>
      <c r="H42" s="9">
        <f t="shared" si="8"/>
        <v>9029.709473769688</v>
      </c>
      <c r="I42" s="9">
        <f t="shared" si="8"/>
        <v>9227.6862525360884</v>
      </c>
      <c r="J42" s="9">
        <f t="shared" si="8"/>
        <v>10729.611791203326</v>
      </c>
      <c r="K42" s="9">
        <f t="shared" si="8"/>
        <v>12212.205927376357</v>
      </c>
      <c r="L42" s="6">
        <f t="shared" si="8"/>
        <v>13520.543460832854</v>
      </c>
      <c r="N42" s="8" t="s">
        <v>112</v>
      </c>
      <c r="O42" s="1" t="s">
        <v>131</v>
      </c>
      <c r="P42" s="20">
        <v>110416113.3</v>
      </c>
      <c r="Q42" s="23">
        <f t="shared" si="3"/>
        <v>4.066194500302496E-2</v>
      </c>
      <c r="S42" s="8" t="s">
        <v>33</v>
      </c>
      <c r="T42" s="113">
        <f t="shared" si="9"/>
        <v>3861.8992310813619</v>
      </c>
      <c r="U42" s="9">
        <f t="shared" si="9"/>
        <v>3688.577016988093</v>
      </c>
      <c r="V42" s="9">
        <f t="shared" si="9"/>
        <v>3780.1795772099726</v>
      </c>
      <c r="W42" s="9">
        <f t="shared" si="9"/>
        <v>4173.3165287691027</v>
      </c>
      <c r="X42" s="9">
        <f t="shared" si="9"/>
        <v>4514.854736884844</v>
      </c>
      <c r="Y42" s="9">
        <f t="shared" si="9"/>
        <v>4613.8431262680442</v>
      </c>
      <c r="Z42" s="9">
        <f t="shared" si="9"/>
        <v>5364.805895601663</v>
      </c>
      <c r="AA42" s="9">
        <f t="shared" si="9"/>
        <v>6106.1029636881785</v>
      </c>
      <c r="AB42" s="6">
        <f t="shared" si="9"/>
        <v>6760.2717304164271</v>
      </c>
    </row>
    <row r="43" spans="2:28" x14ac:dyDescent="0.25">
      <c r="B43" s="121" t="s">
        <v>34</v>
      </c>
      <c r="C43" s="15" t="str">
        <f>VLOOKUP(B43,'State Interconnection Mapping'!$A$3:$B$52,2,0)</f>
        <v>Eastern</v>
      </c>
      <c r="D43" s="9">
        <f t="shared" si="8"/>
        <v>4724.1408732011914</v>
      </c>
      <c r="E43" s="9">
        <f t="shared" si="8"/>
        <v>4512.1212147797905</v>
      </c>
      <c r="F43" s="9">
        <f t="shared" si="8"/>
        <v>4624.1757695313099</v>
      </c>
      <c r="G43" s="9">
        <f t="shared" si="8"/>
        <v>5105.0879400713375</v>
      </c>
      <c r="H43" s="9">
        <f t="shared" si="8"/>
        <v>5522.8809771692222</v>
      </c>
      <c r="I43" s="9">
        <f t="shared" si="8"/>
        <v>5643.9703863629957</v>
      </c>
      <c r="J43" s="9">
        <f t="shared" si="8"/>
        <v>6562.5997188709644</v>
      </c>
      <c r="K43" s="9">
        <f t="shared" si="8"/>
        <v>7469.4053005254409</v>
      </c>
      <c r="L43" s="6">
        <f t="shared" si="8"/>
        <v>8269.6295487400184</v>
      </c>
      <c r="N43" s="8" t="s">
        <v>113</v>
      </c>
      <c r="O43" s="1" t="s">
        <v>131</v>
      </c>
      <c r="P43" s="20">
        <v>67534293.709999993</v>
      </c>
      <c r="Q43" s="23">
        <f t="shared" si="3"/>
        <v>2.4870244519412495E-2</v>
      </c>
      <c r="S43" s="8" t="s">
        <v>34</v>
      </c>
      <c r="T43" s="113">
        <f t="shared" si="9"/>
        <v>2362.0704366005957</v>
      </c>
      <c r="U43" s="9">
        <f t="shared" si="9"/>
        <v>2256.0606073898953</v>
      </c>
      <c r="V43" s="9">
        <f t="shared" si="9"/>
        <v>2312.087884765655</v>
      </c>
      <c r="W43" s="9">
        <f t="shared" si="9"/>
        <v>2552.5439700356687</v>
      </c>
      <c r="X43" s="9">
        <f t="shared" si="9"/>
        <v>2761.4404885846111</v>
      </c>
      <c r="Y43" s="9">
        <f t="shared" si="9"/>
        <v>2821.9851931814978</v>
      </c>
      <c r="Z43" s="9">
        <f t="shared" si="9"/>
        <v>3281.2998594354822</v>
      </c>
      <c r="AA43" s="9">
        <f t="shared" si="9"/>
        <v>3734.7026502627205</v>
      </c>
      <c r="AB43" s="6">
        <f t="shared" si="9"/>
        <v>4134.8147743700092</v>
      </c>
    </row>
    <row r="44" spans="2:28" x14ac:dyDescent="0.25">
      <c r="B44" s="121" t="s">
        <v>35</v>
      </c>
      <c r="C44" s="15" t="str">
        <f>VLOOKUP(B44,'State Interconnection Mapping'!$A$3:$B$52,2,0)</f>
        <v>Western</v>
      </c>
      <c r="D44" s="9">
        <f t="shared" si="8"/>
        <v>1161.4618231871345</v>
      </c>
      <c r="E44" s="9">
        <f t="shared" si="8"/>
        <v>1109.3353634495429</v>
      </c>
      <c r="F44" s="9">
        <f t="shared" si="8"/>
        <v>1136.8847297684879</v>
      </c>
      <c r="G44" s="9">
        <f t="shared" si="8"/>
        <v>1255.120223031797</v>
      </c>
      <c r="H44" s="9">
        <f t="shared" si="8"/>
        <v>1357.8374525994629</v>
      </c>
      <c r="I44" s="9">
        <f t="shared" si="8"/>
        <v>1387.6080986800382</v>
      </c>
      <c r="J44" s="9">
        <f t="shared" si="8"/>
        <v>1613.4593016829858</v>
      </c>
      <c r="K44" s="9">
        <f t="shared" si="8"/>
        <v>1836.4035559746646</v>
      </c>
      <c r="L44" s="6">
        <f t="shared" si="8"/>
        <v>2033.1440722370539</v>
      </c>
      <c r="N44" s="8" t="s">
        <v>114</v>
      </c>
      <c r="O44" s="1" t="s">
        <v>132</v>
      </c>
      <c r="P44" s="20">
        <v>16603760.557826083</v>
      </c>
      <c r="Q44" s="23">
        <f t="shared" si="3"/>
        <v>6.1145169710091511E-3</v>
      </c>
      <c r="S44" s="8" t="s">
        <v>35</v>
      </c>
      <c r="T44" s="113">
        <f t="shared" si="9"/>
        <v>580.73091159356727</v>
      </c>
      <c r="U44" s="9">
        <f t="shared" si="9"/>
        <v>554.66768172477146</v>
      </c>
      <c r="V44" s="9">
        <f t="shared" si="9"/>
        <v>568.44236488424394</v>
      </c>
      <c r="W44" s="9">
        <f t="shared" si="9"/>
        <v>627.56011151589848</v>
      </c>
      <c r="X44" s="9">
        <f t="shared" si="9"/>
        <v>678.91872629973147</v>
      </c>
      <c r="Y44" s="9">
        <f t="shared" si="9"/>
        <v>693.80404934001911</v>
      </c>
      <c r="Z44" s="9">
        <f t="shared" si="9"/>
        <v>806.72965084149291</v>
      </c>
      <c r="AA44" s="9">
        <f t="shared" si="9"/>
        <v>918.20177798733232</v>
      </c>
      <c r="AB44" s="6">
        <f t="shared" si="9"/>
        <v>1016.572036118527</v>
      </c>
    </row>
    <row r="45" spans="2:28" x14ac:dyDescent="0.25">
      <c r="B45" s="121" t="s">
        <v>36</v>
      </c>
      <c r="C45" s="15" t="str">
        <f>VLOOKUP(B45,'State Interconnection Mapping'!$A$3:$B$52,2,0)</f>
        <v>Eastern</v>
      </c>
      <c r="D45" s="9">
        <f t="shared" si="8"/>
        <v>10222.562955566431</v>
      </c>
      <c r="E45" s="9">
        <f t="shared" si="8"/>
        <v>9763.7738626489318</v>
      </c>
      <c r="F45" s="9">
        <f t="shared" si="8"/>
        <v>10006.248583693641</v>
      </c>
      <c r="G45" s="9">
        <f t="shared" si="8"/>
        <v>11046.893871672155</v>
      </c>
      <c r="H45" s="9">
        <f t="shared" si="8"/>
        <v>11950.955740012751</v>
      </c>
      <c r="I45" s="9">
        <f t="shared" si="8"/>
        <v>12212.980972104719</v>
      </c>
      <c r="J45" s="9">
        <f t="shared" si="8"/>
        <v>14200.801919118365</v>
      </c>
      <c r="K45" s="9">
        <f t="shared" si="8"/>
        <v>16163.037465375572</v>
      </c>
      <c r="L45" s="6">
        <f t="shared" si="8"/>
        <v>17894.6417878354</v>
      </c>
      <c r="N45" s="8" t="s">
        <v>115</v>
      </c>
      <c r="O45" s="1" t="s">
        <v>131</v>
      </c>
      <c r="P45" s="20">
        <v>146137379.81999999</v>
      </c>
      <c r="Q45" s="23">
        <f t="shared" si="3"/>
        <v>5.3816693266335154E-2</v>
      </c>
      <c r="S45" s="8" t="s">
        <v>36</v>
      </c>
      <c r="T45" s="113">
        <f t="shared" si="9"/>
        <v>5111.2814777832155</v>
      </c>
      <c r="U45" s="9">
        <f t="shared" si="9"/>
        <v>4881.8869313244659</v>
      </c>
      <c r="V45" s="9">
        <f t="shared" si="9"/>
        <v>5003.1242918468206</v>
      </c>
      <c r="W45" s="9">
        <f t="shared" si="9"/>
        <v>5523.4469358360775</v>
      </c>
      <c r="X45" s="9">
        <f t="shared" si="9"/>
        <v>5975.4778700063753</v>
      </c>
      <c r="Y45" s="9">
        <f t="shared" si="9"/>
        <v>6106.4904860523593</v>
      </c>
      <c r="Z45" s="9">
        <f t="shared" si="9"/>
        <v>7100.4009595591824</v>
      </c>
      <c r="AA45" s="9">
        <f t="shared" si="9"/>
        <v>8081.5187326877858</v>
      </c>
      <c r="AB45" s="6">
        <f t="shared" si="9"/>
        <v>8947.3208939177002</v>
      </c>
    </row>
    <row r="46" spans="2:28" x14ac:dyDescent="0.25">
      <c r="B46" s="121" t="s">
        <v>37</v>
      </c>
      <c r="C46" s="15" t="str">
        <f>VLOOKUP(B46,'State Interconnection Mapping'!$A$3:$B$52,2,0)</f>
        <v>Eastern</v>
      </c>
      <c r="D46" s="9">
        <f t="shared" si="8"/>
        <v>569.4083143319807</v>
      </c>
      <c r="E46" s="9">
        <f t="shared" si="8"/>
        <v>543.85324314606044</v>
      </c>
      <c r="F46" s="9">
        <f t="shared" si="8"/>
        <v>557.35935925200272</v>
      </c>
      <c r="G46" s="9">
        <f t="shared" si="8"/>
        <v>615.32447835383289</v>
      </c>
      <c r="H46" s="9">
        <f t="shared" si="8"/>
        <v>665.68174655958444</v>
      </c>
      <c r="I46" s="9">
        <f t="shared" si="8"/>
        <v>680.27684823481457</v>
      </c>
      <c r="J46" s="9">
        <f t="shared" si="8"/>
        <v>791.0007224288596</v>
      </c>
      <c r="K46" s="9">
        <f t="shared" si="8"/>
        <v>900.29946087372332</v>
      </c>
      <c r="L46" s="6">
        <f t="shared" si="8"/>
        <v>996.75177939966875</v>
      </c>
      <c r="N46" s="8" t="s">
        <v>116</v>
      </c>
      <c r="O46" s="1" t="s">
        <v>131</v>
      </c>
      <c r="P46" s="20">
        <v>8140017.2799999984</v>
      </c>
      <c r="Q46" s="23">
        <f t="shared" si="3"/>
        <v>2.9976506604949731E-3</v>
      </c>
      <c r="S46" s="8" t="s">
        <v>37</v>
      </c>
      <c r="T46" s="113">
        <f t="shared" si="9"/>
        <v>284.70415716599035</v>
      </c>
      <c r="U46" s="9">
        <f t="shared" si="9"/>
        <v>271.92662157303022</v>
      </c>
      <c r="V46" s="9">
        <f t="shared" si="9"/>
        <v>278.67967962600136</v>
      </c>
      <c r="W46" s="9">
        <f t="shared" si="9"/>
        <v>307.66223917691644</v>
      </c>
      <c r="X46" s="9">
        <f t="shared" si="9"/>
        <v>332.84087327979222</v>
      </c>
      <c r="Y46" s="9">
        <f t="shared" si="9"/>
        <v>340.13842411740728</v>
      </c>
      <c r="Z46" s="9">
        <f t="shared" si="9"/>
        <v>395.5003612144298</v>
      </c>
      <c r="AA46" s="9">
        <f t="shared" si="9"/>
        <v>450.14973043686166</v>
      </c>
      <c r="AB46" s="6">
        <f t="shared" si="9"/>
        <v>498.37588969983437</v>
      </c>
    </row>
    <row r="47" spans="2:28" x14ac:dyDescent="0.25">
      <c r="B47" s="121" t="s">
        <v>38</v>
      </c>
      <c r="C47" s="15" t="str">
        <f>VLOOKUP(B47,'State Interconnection Mapping'!$A$3:$B$52,2,0)</f>
        <v>Eastern</v>
      </c>
      <c r="D47" s="9">
        <f t="shared" si="8"/>
        <v>2804.0285127373018</v>
      </c>
      <c r="E47" s="9">
        <f t="shared" si="8"/>
        <v>2678.1835848591081</v>
      </c>
      <c r="F47" s="9">
        <f t="shared" si="8"/>
        <v>2744.6939144489261</v>
      </c>
      <c r="G47" s="9">
        <f t="shared" si="8"/>
        <v>3030.1408294565326</v>
      </c>
      <c r="H47" s="9">
        <f t="shared" si="8"/>
        <v>3278.123186437294</v>
      </c>
      <c r="I47" s="9">
        <f t="shared" si="8"/>
        <v>3349.9961819899809</v>
      </c>
      <c r="J47" s="9">
        <f t="shared" si="8"/>
        <v>3895.251480281649</v>
      </c>
      <c r="K47" s="9">
        <f t="shared" si="8"/>
        <v>4433.4887544689209</v>
      </c>
      <c r="L47" s="6">
        <f t="shared" si="8"/>
        <v>4908.4643466038269</v>
      </c>
      <c r="N47" s="8" t="s">
        <v>117</v>
      </c>
      <c r="O47" s="1" t="s">
        <v>131</v>
      </c>
      <c r="P47" s="20">
        <v>40085190.140000001</v>
      </c>
      <c r="Q47" s="23">
        <f t="shared" si="3"/>
        <v>1.4761811009231371E-2</v>
      </c>
      <c r="S47" s="8" t="s">
        <v>38</v>
      </c>
      <c r="T47" s="113">
        <f t="shared" si="9"/>
        <v>1402.0142563686509</v>
      </c>
      <c r="U47" s="9">
        <f t="shared" si="9"/>
        <v>1339.0917924295541</v>
      </c>
      <c r="V47" s="9">
        <f t="shared" si="9"/>
        <v>1372.346957224463</v>
      </c>
      <c r="W47" s="9">
        <f t="shared" si="9"/>
        <v>1515.0704147282663</v>
      </c>
      <c r="X47" s="9">
        <f t="shared" si="9"/>
        <v>1639.061593218647</v>
      </c>
      <c r="Y47" s="9">
        <f t="shared" si="9"/>
        <v>1674.9980909949904</v>
      </c>
      <c r="Z47" s="9">
        <f t="shared" si="9"/>
        <v>1947.6257401408245</v>
      </c>
      <c r="AA47" s="9">
        <f t="shared" si="9"/>
        <v>2216.7443772344604</v>
      </c>
      <c r="AB47" s="6">
        <f t="shared" si="9"/>
        <v>2454.2321733019135</v>
      </c>
    </row>
    <row r="48" spans="2:28" x14ac:dyDescent="0.25">
      <c r="B48" s="121" t="s">
        <v>39</v>
      </c>
      <c r="C48" s="15" t="str">
        <f>VLOOKUP(B48,'State Interconnection Mapping'!$A$3:$B$52,2,0)</f>
        <v>Eastern</v>
      </c>
      <c r="D48" s="9">
        <f t="shared" si="8"/>
        <v>378.16068895340862</v>
      </c>
      <c r="E48" s="9">
        <f t="shared" si="8"/>
        <v>361.18881994011798</v>
      </c>
      <c r="F48" s="9">
        <f t="shared" si="8"/>
        <v>370.1586260408593</v>
      </c>
      <c r="G48" s="9">
        <f t="shared" si="8"/>
        <v>408.65495428736688</v>
      </c>
      <c r="H48" s="9">
        <f t="shared" si="8"/>
        <v>442.09868659542013</v>
      </c>
      <c r="I48" s="9">
        <f t="shared" si="8"/>
        <v>451.79171981240995</v>
      </c>
      <c r="J48" s="9">
        <f t="shared" si="8"/>
        <v>525.32667793456767</v>
      </c>
      <c r="K48" s="9">
        <f t="shared" si="8"/>
        <v>597.91516179002133</v>
      </c>
      <c r="L48" s="6">
        <f t="shared" si="8"/>
        <v>661.97196304645604</v>
      </c>
      <c r="N48" s="8" t="s">
        <v>118</v>
      </c>
      <c r="O48" s="1" t="s">
        <v>131</v>
      </c>
      <c r="P48" s="20">
        <v>5406023.1739130449</v>
      </c>
      <c r="Q48" s="23">
        <f t="shared" si="3"/>
        <v>1.990827338628398E-3</v>
      </c>
      <c r="S48" s="8" t="s">
        <v>39</v>
      </c>
      <c r="T48" s="113">
        <f t="shared" si="9"/>
        <v>189.08034447670431</v>
      </c>
      <c r="U48" s="9">
        <f t="shared" si="9"/>
        <v>180.59440997005899</v>
      </c>
      <c r="V48" s="9">
        <f t="shared" si="9"/>
        <v>185.07931302042965</v>
      </c>
      <c r="W48" s="9">
        <f t="shared" si="9"/>
        <v>204.32747714368344</v>
      </c>
      <c r="X48" s="9">
        <f t="shared" si="9"/>
        <v>221.04934329771007</v>
      </c>
      <c r="Y48" s="9">
        <f t="shared" si="9"/>
        <v>225.89585990620498</v>
      </c>
      <c r="Z48" s="9">
        <f t="shared" si="9"/>
        <v>262.66333896728383</v>
      </c>
      <c r="AA48" s="9">
        <f t="shared" si="9"/>
        <v>298.95758089501066</v>
      </c>
      <c r="AB48" s="6">
        <f t="shared" si="9"/>
        <v>330.98598152322802</v>
      </c>
    </row>
    <row r="49" spans="2:28" x14ac:dyDescent="0.25">
      <c r="B49" s="121" t="s">
        <v>40</v>
      </c>
      <c r="C49" s="15" t="str">
        <f>VLOOKUP(B49,'State Interconnection Mapping'!$A$3:$B$52,2,0)</f>
        <v>Eastern</v>
      </c>
      <c r="D49" s="9">
        <f t="shared" si="8"/>
        <v>2917.4726942485454</v>
      </c>
      <c r="E49" s="9">
        <f t="shared" si="8"/>
        <v>2786.536386316393</v>
      </c>
      <c r="F49" s="9">
        <f t="shared" si="8"/>
        <v>2855.7375622610489</v>
      </c>
      <c r="G49" s="9">
        <f t="shared" si="8"/>
        <v>3152.7329659843908</v>
      </c>
      <c r="H49" s="9">
        <f t="shared" si="8"/>
        <v>3410.7480866796154</v>
      </c>
      <c r="I49" s="9">
        <f t="shared" si="8"/>
        <v>3485.5288890239235</v>
      </c>
      <c r="J49" s="9">
        <f t="shared" si="8"/>
        <v>4052.843892039843</v>
      </c>
      <c r="K49" s="9">
        <f t="shared" si="8"/>
        <v>4612.8569387457092</v>
      </c>
      <c r="L49" s="6">
        <f t="shared" si="8"/>
        <v>5107.048889431464</v>
      </c>
      <c r="N49" s="8" t="s">
        <v>119</v>
      </c>
      <c r="O49" s="1" t="s">
        <v>131</v>
      </c>
      <c r="P49" s="20">
        <v>41706939.549999997</v>
      </c>
      <c r="Q49" s="23">
        <f t="shared" si="3"/>
        <v>1.53590380202831E-2</v>
      </c>
      <c r="S49" s="8" t="s">
        <v>40</v>
      </c>
      <c r="T49" s="113">
        <f t="shared" si="9"/>
        <v>1458.7363471242727</v>
      </c>
      <c r="U49" s="9">
        <f t="shared" si="9"/>
        <v>1393.2681931581965</v>
      </c>
      <c r="V49" s="9">
        <f t="shared" si="9"/>
        <v>1427.8687811305244</v>
      </c>
      <c r="W49" s="9">
        <f t="shared" si="9"/>
        <v>1576.3664829921954</v>
      </c>
      <c r="X49" s="9">
        <f t="shared" si="9"/>
        <v>1705.3740433398077</v>
      </c>
      <c r="Y49" s="9">
        <f t="shared" si="9"/>
        <v>1742.7644445119618</v>
      </c>
      <c r="Z49" s="9">
        <f t="shared" si="9"/>
        <v>2026.4219460199215</v>
      </c>
      <c r="AA49" s="9">
        <f t="shared" si="9"/>
        <v>2306.4284693728546</v>
      </c>
      <c r="AB49" s="6">
        <f t="shared" si="9"/>
        <v>2553.524444715732</v>
      </c>
    </row>
    <row r="50" spans="2:28" x14ac:dyDescent="0.25">
      <c r="B50" s="121" t="s">
        <v>41</v>
      </c>
      <c r="C50" s="15" t="str">
        <f>VLOOKUP(B50,'State Interconnection Mapping'!$A$3:$B$52,2,0)</f>
        <v>Texas</v>
      </c>
      <c r="D50" s="9">
        <f t="shared" ref="D50:L59" si="10">VLOOKUP($B50,$S$8:$AB$57,D$9-2020,0)*2</f>
        <v>22688.511493269056</v>
      </c>
      <c r="E50" s="9">
        <f t="shared" si="10"/>
        <v>21670.250059919108</v>
      </c>
      <c r="F50" s="9">
        <f t="shared" si="10"/>
        <v>22208.411626559737</v>
      </c>
      <c r="G50" s="9">
        <f t="shared" si="10"/>
        <v>24518.076304521957</v>
      </c>
      <c r="H50" s="9">
        <f t="shared" si="10"/>
        <v>26524.600321994763</v>
      </c>
      <c r="I50" s="9">
        <f t="shared" si="10"/>
        <v>27106.153354799317</v>
      </c>
      <c r="J50" s="9">
        <f t="shared" si="10"/>
        <v>31518.031139158833</v>
      </c>
      <c r="K50" s="9">
        <f t="shared" si="10"/>
        <v>35873.123295330428</v>
      </c>
      <c r="L50" s="6">
        <f t="shared" si="10"/>
        <v>39716.339985967803</v>
      </c>
      <c r="N50" s="8" t="s">
        <v>120</v>
      </c>
      <c r="O50" s="1" t="s">
        <v>41</v>
      </c>
      <c r="P50" s="20">
        <v>324345238.67000008</v>
      </c>
      <c r="Q50" s="23">
        <f t="shared" si="3"/>
        <v>0.11944369225313556</v>
      </c>
      <c r="S50" s="8" t="s">
        <v>41</v>
      </c>
      <c r="T50" s="113">
        <f t="shared" si="9"/>
        <v>11344.255746634528</v>
      </c>
      <c r="U50" s="9">
        <f t="shared" si="9"/>
        <v>10835.125029959554</v>
      </c>
      <c r="V50" s="9">
        <f t="shared" si="9"/>
        <v>11104.205813279868</v>
      </c>
      <c r="W50" s="9">
        <f t="shared" si="9"/>
        <v>12259.038152260979</v>
      </c>
      <c r="X50" s="9">
        <f t="shared" si="9"/>
        <v>13262.300160997382</v>
      </c>
      <c r="Y50" s="9">
        <f t="shared" si="9"/>
        <v>13553.076677399658</v>
      </c>
      <c r="Z50" s="9">
        <f t="shared" si="9"/>
        <v>15759.015569579416</v>
      </c>
      <c r="AA50" s="9">
        <f t="shared" si="9"/>
        <v>17936.561647665214</v>
      </c>
      <c r="AB50" s="6">
        <f t="shared" si="9"/>
        <v>19858.169992983901</v>
      </c>
    </row>
    <row r="51" spans="2:28" x14ac:dyDescent="0.25">
      <c r="B51" s="121" t="s">
        <v>42</v>
      </c>
      <c r="C51" s="15" t="str">
        <f>VLOOKUP(B51,'State Interconnection Mapping'!$A$3:$B$52,2,0)</f>
        <v>Western</v>
      </c>
      <c r="D51" s="9">
        <f t="shared" si="10"/>
        <v>2513.9725793301059</v>
      </c>
      <c r="E51" s="9">
        <f t="shared" si="10"/>
        <v>2401.1453750073115</v>
      </c>
      <c r="F51" s="9">
        <f t="shared" si="10"/>
        <v>2460.7757047530613</v>
      </c>
      <c r="G51" s="9">
        <f t="shared" si="10"/>
        <v>2716.6952554722393</v>
      </c>
      <c r="H51" s="9">
        <f t="shared" si="10"/>
        <v>2939.0256785672232</v>
      </c>
      <c r="I51" s="9">
        <f t="shared" si="10"/>
        <v>3003.4639462927476</v>
      </c>
      <c r="J51" s="9">
        <f t="shared" si="10"/>
        <v>3492.3166317818736</v>
      </c>
      <c r="K51" s="9">
        <f t="shared" si="10"/>
        <v>3974.8772556605763</v>
      </c>
      <c r="L51" s="6">
        <f t="shared" si="10"/>
        <v>4400.7201488601795</v>
      </c>
      <c r="N51" s="8" t="s">
        <v>121</v>
      </c>
      <c r="O51" s="1" t="s">
        <v>132</v>
      </c>
      <c r="P51" s="20">
        <v>3090433</v>
      </c>
      <c r="Q51" s="23">
        <f t="shared" si="3"/>
        <v>1.1380858547348762E-3</v>
      </c>
      <c r="S51" s="8" t="s">
        <v>66</v>
      </c>
      <c r="T51" s="113">
        <f t="shared" si="9"/>
        <v>108.09057183512061</v>
      </c>
      <c r="U51" s="9">
        <f t="shared" si="9"/>
        <v>103.23946202824334</v>
      </c>
      <c r="V51" s="9">
        <f t="shared" si="9"/>
        <v>105.80332310370997</v>
      </c>
      <c r="W51" s="9">
        <f t="shared" si="9"/>
        <v>116.80682044034131</v>
      </c>
      <c r="X51" s="9">
        <f t="shared" si="9"/>
        <v>126.36612222679314</v>
      </c>
      <c r="Y51" s="9">
        <f t="shared" si="9"/>
        <v>129.13670503417305</v>
      </c>
      <c r="Z51" s="9">
        <f t="shared" si="9"/>
        <v>150.15537753366957</v>
      </c>
      <c r="AA51" s="9">
        <f t="shared" si="9"/>
        <v>170.9035170356766</v>
      </c>
      <c r="AB51" s="6">
        <f t="shared" si="9"/>
        <v>189.21302534786861</v>
      </c>
    </row>
    <row r="52" spans="2:28" x14ac:dyDescent="0.25">
      <c r="B52" s="121" t="s">
        <v>43</v>
      </c>
      <c r="C52" s="15" t="str">
        <f>VLOOKUP(B52,'State Interconnection Mapping'!$A$3:$B$52,2,0)</f>
        <v>Eastern</v>
      </c>
      <c r="D52" s="9">
        <f t="shared" si="10"/>
        <v>3658.963815976269</v>
      </c>
      <c r="E52" s="9">
        <f t="shared" si="10"/>
        <v>3494.7493525930317</v>
      </c>
      <c r="F52" s="9">
        <f t="shared" si="10"/>
        <v>3581.5383735506798</v>
      </c>
      <c r="G52" s="9">
        <f t="shared" si="10"/>
        <v>3954.0167305468785</v>
      </c>
      <c r="H52" s="9">
        <f t="shared" si="10"/>
        <v>4277.6077593368636</v>
      </c>
      <c r="I52" s="9">
        <f t="shared" si="10"/>
        <v>4371.3944982656994</v>
      </c>
      <c r="J52" s="9">
        <f t="shared" si="10"/>
        <v>5082.8956109883256</v>
      </c>
      <c r="K52" s="9">
        <f t="shared" si="10"/>
        <v>5785.2389365697054</v>
      </c>
      <c r="L52" s="6">
        <f t="shared" si="10"/>
        <v>6405.0323863149661</v>
      </c>
      <c r="N52" s="8" t="s">
        <v>122</v>
      </c>
      <c r="O52" s="1" t="s">
        <v>132</v>
      </c>
      <c r="P52" s="20">
        <v>35938674.799999997</v>
      </c>
      <c r="Q52" s="23">
        <f t="shared" si="3"/>
        <v>1.3234811247419619E-2</v>
      </c>
      <c r="S52" s="8" t="s">
        <v>42</v>
      </c>
      <c r="T52" s="113">
        <f t="shared" si="9"/>
        <v>1256.9862896650529</v>
      </c>
      <c r="U52" s="9">
        <f t="shared" si="9"/>
        <v>1200.5726875036557</v>
      </c>
      <c r="V52" s="9">
        <f t="shared" si="9"/>
        <v>1230.3878523765306</v>
      </c>
      <c r="W52" s="9">
        <f t="shared" si="9"/>
        <v>1358.3476277361196</v>
      </c>
      <c r="X52" s="9">
        <f t="shared" si="9"/>
        <v>1469.5128392836116</v>
      </c>
      <c r="Y52" s="9">
        <f t="shared" si="9"/>
        <v>1501.7319731463738</v>
      </c>
      <c r="Z52" s="9">
        <f t="shared" si="9"/>
        <v>1746.1583158909368</v>
      </c>
      <c r="AA52" s="9">
        <f t="shared" si="9"/>
        <v>1987.4386278302882</v>
      </c>
      <c r="AB52" s="6">
        <f t="shared" si="9"/>
        <v>2200.3600744300898</v>
      </c>
    </row>
    <row r="53" spans="2:28" x14ac:dyDescent="0.25">
      <c r="B53" s="121" t="s">
        <v>44</v>
      </c>
      <c r="C53" s="15" t="str">
        <f>VLOOKUP(B53,'State Interconnection Mapping'!$A$3:$B$52,2,0)</f>
        <v>Western</v>
      </c>
      <c r="D53" s="9">
        <f t="shared" si="10"/>
        <v>1361.4083693607595</v>
      </c>
      <c r="E53" s="9">
        <f t="shared" si="10"/>
        <v>1300.3082994874596</v>
      </c>
      <c r="F53" s="9">
        <f t="shared" si="10"/>
        <v>1332.6003104071804</v>
      </c>
      <c r="G53" s="9">
        <f t="shared" si="10"/>
        <v>1471.1901347739099</v>
      </c>
      <c r="H53" s="9">
        <f t="shared" si="10"/>
        <v>1591.5902144142717</v>
      </c>
      <c r="I53" s="9">
        <f t="shared" si="10"/>
        <v>1626.4859001150339</v>
      </c>
      <c r="J53" s="9">
        <f t="shared" si="10"/>
        <v>1891.2175614232576</v>
      </c>
      <c r="K53" s="9">
        <f t="shared" si="10"/>
        <v>2152.5418405637547</v>
      </c>
      <c r="L53" s="6">
        <f t="shared" si="10"/>
        <v>2383.1513880192101</v>
      </c>
      <c r="N53" s="8" t="s">
        <v>123</v>
      </c>
      <c r="O53" s="1" t="s">
        <v>131</v>
      </c>
      <c r="P53" s="20">
        <v>52306978.910000004</v>
      </c>
      <c r="Q53" s="23">
        <f t="shared" si="3"/>
        <v>1.9262618798526452E-2</v>
      </c>
      <c r="S53" s="8" t="s">
        <v>43</v>
      </c>
      <c r="T53" s="113">
        <f t="shared" si="9"/>
        <v>1829.4819079881345</v>
      </c>
      <c r="U53" s="9">
        <f t="shared" si="9"/>
        <v>1747.3746762965159</v>
      </c>
      <c r="V53" s="9">
        <f t="shared" si="9"/>
        <v>1790.7691867753399</v>
      </c>
      <c r="W53" s="9">
        <f t="shared" si="9"/>
        <v>1977.0083652734393</v>
      </c>
      <c r="X53" s="9">
        <f t="shared" si="9"/>
        <v>2138.8038796684318</v>
      </c>
      <c r="Y53" s="9">
        <f t="shared" si="9"/>
        <v>2185.6972491328497</v>
      </c>
      <c r="Z53" s="9">
        <f t="shared" si="9"/>
        <v>2541.4478054941628</v>
      </c>
      <c r="AA53" s="9">
        <f t="shared" si="9"/>
        <v>2892.6194682848527</v>
      </c>
      <c r="AB53" s="6">
        <f t="shared" si="9"/>
        <v>3202.516193157483</v>
      </c>
    </row>
    <row r="54" spans="2:28" x14ac:dyDescent="0.25">
      <c r="B54" s="121" t="s">
        <v>45</v>
      </c>
      <c r="C54" s="15" t="str">
        <f>VLOOKUP(B54,'State Interconnection Mapping'!$A$3:$B$52,2,0)</f>
        <v>Eastern</v>
      </c>
      <c r="D54" s="9">
        <f t="shared" si="10"/>
        <v>4902.1036155053825</v>
      </c>
      <c r="E54" s="9">
        <f t="shared" si="10"/>
        <v>4682.0969810712413</v>
      </c>
      <c r="F54" s="9">
        <f t="shared" si="10"/>
        <v>4798.3727342134298</v>
      </c>
      <c r="G54" s="9">
        <f t="shared" si="10"/>
        <v>5297.4013096139179</v>
      </c>
      <c r="H54" s="9">
        <f t="shared" si="10"/>
        <v>5730.9329956202882</v>
      </c>
      <c r="I54" s="9">
        <f t="shared" si="10"/>
        <v>5856.583954501617</v>
      </c>
      <c r="J54" s="9">
        <f t="shared" si="10"/>
        <v>6809.8189009322305</v>
      </c>
      <c r="K54" s="9">
        <f t="shared" si="10"/>
        <v>7750.7846849133211</v>
      </c>
      <c r="L54" s="6">
        <f t="shared" si="10"/>
        <v>8581.1541183569061</v>
      </c>
      <c r="N54" s="8" t="s">
        <v>124</v>
      </c>
      <c r="O54" s="1" t="s">
        <v>132</v>
      </c>
      <c r="P54" s="20">
        <v>19462110.708260853</v>
      </c>
      <c r="Q54" s="23">
        <f t="shared" si="3"/>
        <v>7.167135770410114E-3</v>
      </c>
      <c r="S54" s="8" t="s">
        <v>44</v>
      </c>
      <c r="T54" s="113">
        <f t="shared" si="9"/>
        <v>680.70418468037974</v>
      </c>
      <c r="U54" s="9">
        <f t="shared" si="9"/>
        <v>650.15414974372982</v>
      </c>
      <c r="V54" s="9">
        <f t="shared" si="9"/>
        <v>666.30015520359018</v>
      </c>
      <c r="W54" s="9">
        <f t="shared" si="9"/>
        <v>735.59506738695495</v>
      </c>
      <c r="X54" s="9">
        <f t="shared" si="9"/>
        <v>795.79510720713586</v>
      </c>
      <c r="Y54" s="9">
        <f t="shared" si="9"/>
        <v>813.24295005751696</v>
      </c>
      <c r="Z54" s="9">
        <f t="shared" si="9"/>
        <v>945.60878071162881</v>
      </c>
      <c r="AA54" s="9">
        <f t="shared" si="9"/>
        <v>1076.2709202818774</v>
      </c>
      <c r="AB54" s="6">
        <f t="shared" si="9"/>
        <v>1191.5756940096051</v>
      </c>
    </row>
    <row r="55" spans="2:28" x14ac:dyDescent="0.25">
      <c r="B55" s="121" t="s">
        <v>46</v>
      </c>
      <c r="C55" s="15" t="str">
        <f>VLOOKUP(B55,'State Interconnection Mapping'!$A$3:$B$52,2,0)</f>
        <v>Eastern</v>
      </c>
      <c r="D55" s="9">
        <f t="shared" si="10"/>
        <v>2966.2795844916068</v>
      </c>
      <c r="E55" s="9">
        <f t="shared" si="10"/>
        <v>2833.1528210934357</v>
      </c>
      <c r="F55" s="9">
        <f t="shared" si="10"/>
        <v>2903.5116751221676</v>
      </c>
      <c r="G55" s="9">
        <f t="shared" si="10"/>
        <v>3205.4755647891125</v>
      </c>
      <c r="H55" s="9">
        <f t="shared" si="10"/>
        <v>3467.8070637324172</v>
      </c>
      <c r="I55" s="9">
        <f t="shared" si="10"/>
        <v>3543.8388866670807</v>
      </c>
      <c r="J55" s="9">
        <f t="shared" si="10"/>
        <v>4120.6445975617844</v>
      </c>
      <c r="K55" s="9">
        <f t="shared" si="10"/>
        <v>4690.026196494081</v>
      </c>
      <c r="L55" s="6">
        <f t="shared" si="10"/>
        <v>5192.4855672464137</v>
      </c>
      <c r="N55" s="8" t="s">
        <v>125</v>
      </c>
      <c r="O55" s="1" t="s">
        <v>131</v>
      </c>
      <c r="P55" s="20">
        <v>42404661.939999998</v>
      </c>
      <c r="Q55" s="23">
        <f t="shared" si="3"/>
        <v>1.5615981944513397E-2</v>
      </c>
      <c r="S55" s="8" t="s">
        <v>46</v>
      </c>
      <c r="T55" s="113">
        <f t="shared" si="9"/>
        <v>1483.1397922458034</v>
      </c>
      <c r="U55" s="9">
        <f t="shared" si="9"/>
        <v>1416.5764105467179</v>
      </c>
      <c r="V55" s="9">
        <f t="shared" si="9"/>
        <v>1451.7558375610838</v>
      </c>
      <c r="W55" s="9">
        <f t="shared" si="9"/>
        <v>1602.7377823945562</v>
      </c>
      <c r="X55" s="9">
        <f t="shared" si="9"/>
        <v>1733.9035318662086</v>
      </c>
      <c r="Y55" s="9">
        <f t="shared" si="9"/>
        <v>1771.9194433335404</v>
      </c>
      <c r="Z55" s="9">
        <f t="shared" si="9"/>
        <v>2060.3222987808922</v>
      </c>
      <c r="AA55" s="9">
        <f t="shared" si="9"/>
        <v>2345.0130982470405</v>
      </c>
      <c r="AB55" s="6">
        <f t="shared" si="9"/>
        <v>2596.2427836232068</v>
      </c>
    </row>
    <row r="56" spans="2:28" x14ac:dyDescent="0.25">
      <c r="B56" s="121" t="s">
        <v>47</v>
      </c>
      <c r="C56" s="15" t="str">
        <f>VLOOKUP(B56,'State Interconnection Mapping'!$A$3:$B$52,2,0)</f>
        <v>Western</v>
      </c>
      <c r="D56" s="9">
        <f t="shared" si="10"/>
        <v>3035.2439542487982</v>
      </c>
      <c r="E56" s="9">
        <f t="shared" si="10"/>
        <v>2899.022066782225</v>
      </c>
      <c r="F56" s="9">
        <f t="shared" si="10"/>
        <v>2971.0167254904272</v>
      </c>
      <c r="G56" s="9">
        <f t="shared" si="10"/>
        <v>3280.0011096007102</v>
      </c>
      <c r="H56" s="9">
        <f t="shared" si="10"/>
        <v>3548.4316716891994</v>
      </c>
      <c r="I56" s="9">
        <f t="shared" si="10"/>
        <v>3626.2311927119304</v>
      </c>
      <c r="J56" s="9">
        <f t="shared" si="10"/>
        <v>4216.4473193112681</v>
      </c>
      <c r="K56" s="9">
        <f t="shared" si="10"/>
        <v>4799.0667274261541</v>
      </c>
      <c r="L56" s="6">
        <f t="shared" si="10"/>
        <v>5313.2080023434537</v>
      </c>
      <c r="N56" s="8" t="s">
        <v>126</v>
      </c>
      <c r="O56" s="1" t="s">
        <v>131</v>
      </c>
      <c r="P56" s="20">
        <v>70078372.819999993</v>
      </c>
      <c r="Q56" s="23">
        <f t="shared" si="3"/>
        <v>2.580712956057582E-2</v>
      </c>
      <c r="S56" s="8" t="s">
        <v>45</v>
      </c>
      <c r="T56" s="113">
        <f t="shared" si="9"/>
        <v>2451.0518077526913</v>
      </c>
      <c r="U56" s="9">
        <f t="shared" si="9"/>
        <v>2341.0484905356207</v>
      </c>
      <c r="V56" s="9">
        <f t="shared" si="9"/>
        <v>2399.1863671067149</v>
      </c>
      <c r="W56" s="9">
        <f t="shared" si="9"/>
        <v>2648.7006548069589</v>
      </c>
      <c r="X56" s="9">
        <f t="shared" si="9"/>
        <v>2865.4664978101441</v>
      </c>
      <c r="Y56" s="9">
        <f t="shared" si="9"/>
        <v>2928.2919772508085</v>
      </c>
      <c r="Z56" s="9">
        <f t="shared" si="9"/>
        <v>3404.9094504661152</v>
      </c>
      <c r="AA56" s="9">
        <f t="shared" si="9"/>
        <v>3875.3923424566606</v>
      </c>
      <c r="AB56" s="6">
        <f t="shared" si="9"/>
        <v>4290.5770591784531</v>
      </c>
    </row>
    <row r="57" spans="2:28" ht="15.75" thickBot="1" x14ac:dyDescent="0.3">
      <c r="B57" s="121" t="s">
        <v>65</v>
      </c>
      <c r="C57" s="15" t="str">
        <f>VLOOKUP(B57,'State Interconnection Mapping'!$A$3:$B$52,2,0)</f>
        <v>Western</v>
      </c>
      <c r="D57" s="9">
        <f t="shared" si="10"/>
        <v>2072.6315813556416</v>
      </c>
      <c r="E57" s="9">
        <f t="shared" si="10"/>
        <v>1979.6117812042005</v>
      </c>
      <c r="F57" s="9">
        <f t="shared" si="10"/>
        <v>2028.7736955599353</v>
      </c>
      <c r="G57" s="9">
        <f t="shared" si="10"/>
        <v>2239.7652343969485</v>
      </c>
      <c r="H57" s="9">
        <f t="shared" si="10"/>
        <v>2423.0643921489464</v>
      </c>
      <c r="I57" s="9">
        <f t="shared" si="10"/>
        <v>2476.1901858962115</v>
      </c>
      <c r="J57" s="9">
        <f t="shared" si="10"/>
        <v>2879.2222328269977</v>
      </c>
      <c r="K57" s="9">
        <f t="shared" si="10"/>
        <v>3277.0668223794391</v>
      </c>
      <c r="L57" s="6">
        <f t="shared" si="10"/>
        <v>3628.1507746859297</v>
      </c>
      <c r="N57" s="12" t="s">
        <v>127</v>
      </c>
      <c r="O57" s="13" t="s">
        <v>132</v>
      </c>
      <c r="P57" s="53">
        <v>43390547.019999996</v>
      </c>
      <c r="Q57" s="24">
        <f t="shared" si="3"/>
        <v>1.597904494052145E-2</v>
      </c>
      <c r="S57" s="12" t="s">
        <v>47</v>
      </c>
      <c r="T57" s="113">
        <f t="shared" si="9"/>
        <v>1517.6219771243991</v>
      </c>
      <c r="U57" s="9">
        <f t="shared" si="9"/>
        <v>1449.5110333911125</v>
      </c>
      <c r="V57" s="9">
        <f t="shared" si="9"/>
        <v>1485.5083627452136</v>
      </c>
      <c r="W57" s="9">
        <f t="shared" si="9"/>
        <v>1640.0005548003551</v>
      </c>
      <c r="X57" s="9">
        <f t="shared" si="9"/>
        <v>1774.2158358445997</v>
      </c>
      <c r="Y57" s="9">
        <f t="shared" si="9"/>
        <v>1813.1155963559652</v>
      </c>
      <c r="Z57" s="9">
        <f t="shared" si="9"/>
        <v>2108.223659655634</v>
      </c>
      <c r="AA57" s="9">
        <f t="shared" si="9"/>
        <v>2399.5333637130771</v>
      </c>
      <c r="AB57" s="6">
        <f t="shared" si="9"/>
        <v>2656.6040011717268</v>
      </c>
    </row>
    <row r="58" spans="2:28" ht="15.75" thickBot="1" x14ac:dyDescent="0.3">
      <c r="B58" s="121" t="s">
        <v>66</v>
      </c>
      <c r="C58" s="15" t="str">
        <f>VLOOKUP(B58,'State Interconnection Mapping'!$A$3:$B$52,2,0)</f>
        <v>Western</v>
      </c>
      <c r="D58" s="9">
        <f t="shared" si="10"/>
        <v>216.18114367024123</v>
      </c>
      <c r="E58" s="9">
        <f t="shared" si="10"/>
        <v>206.47892405648668</v>
      </c>
      <c r="F58" s="9">
        <f t="shared" si="10"/>
        <v>211.60664620741994</v>
      </c>
      <c r="G58" s="9">
        <f t="shared" si="10"/>
        <v>233.61364088068262</v>
      </c>
      <c r="H58" s="9">
        <f t="shared" si="10"/>
        <v>252.73224445358628</v>
      </c>
      <c r="I58" s="9">
        <f t="shared" si="10"/>
        <v>258.2734100683461</v>
      </c>
      <c r="J58" s="9">
        <f t="shared" si="10"/>
        <v>300.31075506733913</v>
      </c>
      <c r="K58" s="9">
        <f t="shared" si="10"/>
        <v>341.8070340713532</v>
      </c>
      <c r="L58" s="6">
        <f t="shared" si="10"/>
        <v>378.42605069573722</v>
      </c>
      <c r="N58" s="39" t="s">
        <v>133</v>
      </c>
      <c r="O58" s="40"/>
      <c r="P58" s="105">
        <f>SUM(P8:P57)</f>
        <v>2715465610.2108698</v>
      </c>
      <c r="Q58" s="106">
        <v>0.99999999999999989</v>
      </c>
      <c r="T58" s="19"/>
      <c r="U58" s="19"/>
      <c r="V58" s="19"/>
      <c r="W58" s="19"/>
      <c r="X58" s="19"/>
      <c r="Y58" s="19"/>
      <c r="Z58" s="19"/>
      <c r="AA58" s="19"/>
      <c r="AB58" s="19"/>
    </row>
    <row r="59" spans="2:28" ht="15.75" thickBot="1" x14ac:dyDescent="0.3">
      <c r="B59" s="12" t="s">
        <v>67</v>
      </c>
      <c r="C59" s="36" t="str">
        <f>VLOOKUP(B59,'State Interconnection Mapping'!$A$3:$B$52,2,0)</f>
        <v>Western</v>
      </c>
      <c r="D59" s="10">
        <f t="shared" si="10"/>
        <v>95.140861515547485</v>
      </c>
      <c r="E59" s="10">
        <f t="shared" si="10"/>
        <v>90.870935299995139</v>
      </c>
      <c r="F59" s="10">
        <f t="shared" si="10"/>
        <v>93.127634912040449</v>
      </c>
      <c r="G59" s="10">
        <f t="shared" si="10"/>
        <v>102.8128664592288</v>
      </c>
      <c r="H59" s="10">
        <f t="shared" si="10"/>
        <v>111.22692322670935</v>
      </c>
      <c r="I59" s="10">
        <f t="shared" si="10"/>
        <v>113.6655784277973</v>
      </c>
      <c r="J59" s="10">
        <f t="shared" si="10"/>
        <v>132.16612454911493</v>
      </c>
      <c r="K59" s="10">
        <f t="shared" si="10"/>
        <v>150.42854867688075</v>
      </c>
      <c r="L59" s="7">
        <f t="shared" si="10"/>
        <v>166.54450000522797</v>
      </c>
      <c r="O59" t="s">
        <v>131</v>
      </c>
      <c r="P59" s="18">
        <f>SUMIF($O$8:$O$57,O59,$P$8:$P$57)</f>
        <v>1973557053.4939127</v>
      </c>
      <c r="T59" s="19"/>
      <c r="U59" s="19"/>
      <c r="V59" s="19"/>
      <c r="W59" s="19"/>
      <c r="X59" s="19"/>
      <c r="Y59" s="19"/>
      <c r="Z59" s="19"/>
      <c r="AA59" s="19"/>
      <c r="AB59" s="19"/>
    </row>
    <row r="60" spans="2:28" x14ac:dyDescent="0.25">
      <c r="O60" t="s">
        <v>132</v>
      </c>
      <c r="P60" s="18">
        <f t="shared" ref="P60:P61" si="11">SUMIF($O$8:$O$57,O60,$P$8:$P$57)</f>
        <v>417563318.04695654</v>
      </c>
      <c r="T60" s="19"/>
      <c r="U60" s="19"/>
      <c r="V60" s="19"/>
      <c r="W60" s="19"/>
      <c r="X60" s="19"/>
      <c r="Y60" s="19"/>
      <c r="Z60" s="19"/>
      <c r="AA60" s="19"/>
      <c r="AB60" s="19"/>
    </row>
    <row r="61" spans="2:28" x14ac:dyDescent="0.25">
      <c r="O61" t="s">
        <v>41</v>
      </c>
      <c r="P61" s="18">
        <f t="shared" si="11"/>
        <v>324345238.67000008</v>
      </c>
    </row>
  </sheetData>
  <mergeCells count="8">
    <mergeCell ref="B3:L3"/>
    <mergeCell ref="S4:AB4"/>
    <mergeCell ref="N6:Q6"/>
    <mergeCell ref="N7:O7"/>
    <mergeCell ref="B4:C4"/>
    <mergeCell ref="B5:C5"/>
    <mergeCell ref="B6:C6"/>
    <mergeCell ref="B7:C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59"/>
  <sheetViews>
    <sheetView workbookViewId="0">
      <selection activeCell="E14" sqref="E14"/>
    </sheetView>
  </sheetViews>
  <sheetFormatPr defaultRowHeight="15" x14ac:dyDescent="0.25"/>
  <cols>
    <col min="2" max="2" width="15.28515625" bestFit="1" customWidth="1"/>
    <col min="3" max="3" width="6" customWidth="1"/>
    <col min="4" max="4" width="16" customWidth="1"/>
  </cols>
  <sheetData>
    <row r="3" spans="2:10" ht="15.75" thickBot="1" x14ac:dyDescent="0.3"/>
    <row r="4" spans="2:10" ht="15.75" thickBot="1" x14ac:dyDescent="0.3">
      <c r="B4" s="67"/>
      <c r="C4" s="67"/>
      <c r="D4" s="67"/>
      <c r="E4" s="164" t="s">
        <v>145</v>
      </c>
      <c r="F4" s="165"/>
      <c r="G4" s="164" t="s">
        <v>146</v>
      </c>
      <c r="H4" s="165"/>
      <c r="I4" s="164" t="s">
        <v>147</v>
      </c>
      <c r="J4" s="165"/>
    </row>
    <row r="5" spans="2:10" ht="15.75" thickBot="1" x14ac:dyDescent="0.3">
      <c r="B5" s="169" t="s">
        <v>137</v>
      </c>
      <c r="C5" s="170"/>
      <c r="D5" s="171"/>
      <c r="E5" s="76" t="s">
        <v>63</v>
      </c>
      <c r="F5" s="77" t="s">
        <v>48</v>
      </c>
      <c r="G5" s="76" t="s">
        <v>63</v>
      </c>
      <c r="H5" s="77" t="s">
        <v>48</v>
      </c>
      <c r="I5" s="76" t="s">
        <v>63</v>
      </c>
      <c r="J5" s="77" t="s">
        <v>48</v>
      </c>
    </row>
    <row r="6" spans="2:10" x14ac:dyDescent="0.25">
      <c r="B6" s="167" t="s">
        <v>131</v>
      </c>
      <c r="C6" s="168"/>
      <c r="D6" s="168"/>
      <c r="E6" s="100">
        <f>SUMIF($D$10:$D$59,$B6,E$10:E$59)</f>
        <v>10633.3</v>
      </c>
      <c r="F6" s="101">
        <f t="shared" ref="F6:J8" si="0">SUMIF($D$10:$D$59,$B6,F$10:F$59)</f>
        <v>51231.239400000006</v>
      </c>
      <c r="G6" s="101">
        <f t="shared" si="0"/>
        <v>655</v>
      </c>
      <c r="H6" s="101">
        <f t="shared" si="0"/>
        <v>3442.68</v>
      </c>
      <c r="I6" s="101">
        <f t="shared" si="0"/>
        <v>5522</v>
      </c>
      <c r="J6" s="102">
        <f t="shared" si="0"/>
        <v>31925.995200000001</v>
      </c>
    </row>
    <row r="7" spans="2:10" x14ac:dyDescent="0.25">
      <c r="B7" s="172" t="s">
        <v>132</v>
      </c>
      <c r="C7" s="173"/>
      <c r="D7" s="173"/>
      <c r="E7" s="68">
        <f t="shared" ref="E7:E8" si="1">SUMIF($D$10:$D$59,$B7,E$10:E$59)</f>
        <v>2636.3</v>
      </c>
      <c r="F7" s="65">
        <f t="shared" si="0"/>
        <v>12701.6934</v>
      </c>
      <c r="G7" s="65">
        <f t="shared" si="0"/>
        <v>0</v>
      </c>
      <c r="H7" s="65">
        <f t="shared" si="0"/>
        <v>0</v>
      </c>
      <c r="I7" s="65">
        <f t="shared" si="0"/>
        <v>0</v>
      </c>
      <c r="J7" s="69">
        <f t="shared" si="0"/>
        <v>0</v>
      </c>
    </row>
    <row r="8" spans="2:10" ht="15.75" thickBot="1" x14ac:dyDescent="0.3">
      <c r="B8" s="174" t="s">
        <v>41</v>
      </c>
      <c r="C8" s="175"/>
      <c r="D8" s="175"/>
      <c r="E8" s="70">
        <f t="shared" si="1"/>
        <v>2488.8000000000002</v>
      </c>
      <c r="F8" s="71">
        <f t="shared" si="0"/>
        <v>11991.038400000001</v>
      </c>
      <c r="G8" s="71">
        <f t="shared" si="0"/>
        <v>0</v>
      </c>
      <c r="H8" s="71">
        <f t="shared" si="0"/>
        <v>0</v>
      </c>
      <c r="I8" s="71">
        <f t="shared" si="0"/>
        <v>0</v>
      </c>
      <c r="J8" s="72">
        <f t="shared" si="0"/>
        <v>0</v>
      </c>
    </row>
    <row r="9" spans="2:10" ht="30.75" thickBot="1" x14ac:dyDescent="0.3">
      <c r="B9" s="166" t="s">
        <v>0</v>
      </c>
      <c r="C9" s="166"/>
      <c r="D9" s="99" t="s">
        <v>152</v>
      </c>
      <c r="E9" s="78"/>
      <c r="F9" s="78"/>
      <c r="G9" s="78"/>
      <c r="H9" s="78"/>
      <c r="I9" s="78"/>
      <c r="J9" s="78"/>
    </row>
    <row r="10" spans="2:10" x14ac:dyDescent="0.25">
      <c r="B10" s="73" t="s">
        <v>1</v>
      </c>
      <c r="C10" s="74" t="s">
        <v>80</v>
      </c>
      <c r="D10" s="98" t="str">
        <f>VLOOKUP(B10,'State Interconnection Mapping'!$A$3:$B$52,2,0)</f>
        <v>Eastern</v>
      </c>
      <c r="E10" s="47">
        <v>0</v>
      </c>
      <c r="F10" s="47">
        <f t="shared" ref="F10:F41" si="2">E10*8760*0.55*10^-3</f>
        <v>0</v>
      </c>
      <c r="G10" s="47">
        <v>0</v>
      </c>
      <c r="H10" s="47">
        <f t="shared" ref="H10:H41" si="3">G10*8760*0.6*10^-3</f>
        <v>0</v>
      </c>
      <c r="I10" s="47">
        <v>0</v>
      </c>
      <c r="J10" s="17">
        <f t="shared" ref="J10:J41" si="4">I10*8760*0.66*10^-3</f>
        <v>0</v>
      </c>
    </row>
    <row r="11" spans="2:10" x14ac:dyDescent="0.25">
      <c r="B11" s="4" t="s">
        <v>2</v>
      </c>
      <c r="C11" s="75" t="s">
        <v>82</v>
      </c>
      <c r="D11" s="22" t="str">
        <f>VLOOKUP(B11,'State Interconnection Mapping'!$A$3:$B$52,2,0)</f>
        <v>Western</v>
      </c>
      <c r="E11" s="9">
        <v>0</v>
      </c>
      <c r="F11" s="9">
        <f t="shared" si="2"/>
        <v>0</v>
      </c>
      <c r="G11" s="9">
        <v>0</v>
      </c>
      <c r="H11" s="9">
        <f t="shared" si="3"/>
        <v>0</v>
      </c>
      <c r="I11" s="9">
        <v>0</v>
      </c>
      <c r="J11" s="6">
        <f t="shared" si="4"/>
        <v>0</v>
      </c>
    </row>
    <row r="12" spans="2:10" x14ac:dyDescent="0.25">
      <c r="B12" s="4" t="s">
        <v>3</v>
      </c>
      <c r="C12" s="75" t="s">
        <v>81</v>
      </c>
      <c r="D12" s="22" t="str">
        <f>VLOOKUP(B12,'State Interconnection Mapping'!$A$3:$B$52,2,0)</f>
        <v>Eastern</v>
      </c>
      <c r="E12" s="9">
        <v>0</v>
      </c>
      <c r="F12" s="9">
        <f t="shared" si="2"/>
        <v>0</v>
      </c>
      <c r="G12" s="9">
        <v>0</v>
      </c>
      <c r="H12" s="9">
        <f t="shared" si="3"/>
        <v>0</v>
      </c>
      <c r="I12" s="9">
        <v>0</v>
      </c>
      <c r="J12" s="6">
        <f t="shared" si="4"/>
        <v>0</v>
      </c>
    </row>
    <row r="13" spans="2:10" x14ac:dyDescent="0.25">
      <c r="B13" s="4" t="s">
        <v>4</v>
      </c>
      <c r="C13" s="75" t="s">
        <v>83</v>
      </c>
      <c r="D13" s="22" t="str">
        <f>VLOOKUP(B13,'State Interconnection Mapping'!$A$3:$B$52,2,0)</f>
        <v>Western</v>
      </c>
      <c r="E13" s="9">
        <v>1319.1</v>
      </c>
      <c r="F13" s="9">
        <f t="shared" si="2"/>
        <v>6355.4238000000005</v>
      </c>
      <c r="G13" s="9">
        <v>0</v>
      </c>
      <c r="H13" s="9">
        <f t="shared" si="3"/>
        <v>0</v>
      </c>
      <c r="I13" s="9">
        <v>0</v>
      </c>
      <c r="J13" s="6">
        <f t="shared" si="4"/>
        <v>0</v>
      </c>
    </row>
    <row r="14" spans="2:10" x14ac:dyDescent="0.25">
      <c r="B14" s="4" t="s">
        <v>5</v>
      </c>
      <c r="C14" s="75" t="s">
        <v>84</v>
      </c>
      <c r="D14" s="22" t="str">
        <f>VLOOKUP(B14,'State Interconnection Mapping'!$A$3:$B$52,2,0)</f>
        <v>Western</v>
      </c>
      <c r="E14" s="9">
        <v>588.20000000000005</v>
      </c>
      <c r="F14" s="9">
        <f t="shared" si="2"/>
        <v>2833.9476</v>
      </c>
      <c r="G14" s="9">
        <v>0</v>
      </c>
      <c r="H14" s="9">
        <f t="shared" si="3"/>
        <v>0</v>
      </c>
      <c r="I14" s="9">
        <v>0</v>
      </c>
      <c r="J14" s="6">
        <f t="shared" si="4"/>
        <v>0</v>
      </c>
    </row>
    <row r="15" spans="2:10" x14ac:dyDescent="0.25">
      <c r="B15" s="4" t="s">
        <v>6</v>
      </c>
      <c r="C15" s="75" t="s">
        <v>85</v>
      </c>
      <c r="D15" s="22" t="str">
        <f>VLOOKUP(B15,'State Interconnection Mapping'!$A$3:$B$52,2,0)</f>
        <v>Eastern</v>
      </c>
      <c r="E15" s="9">
        <v>0</v>
      </c>
      <c r="F15" s="9">
        <f t="shared" si="2"/>
        <v>0</v>
      </c>
      <c r="G15" s="9">
        <v>0</v>
      </c>
      <c r="H15" s="9">
        <f t="shared" si="3"/>
        <v>0</v>
      </c>
      <c r="I15" s="9">
        <v>0</v>
      </c>
      <c r="J15" s="6">
        <f t="shared" si="4"/>
        <v>0</v>
      </c>
    </row>
    <row r="16" spans="2:10" x14ac:dyDescent="0.25">
      <c r="B16" s="4" t="s">
        <v>7</v>
      </c>
      <c r="C16" s="75" t="s">
        <v>86</v>
      </c>
      <c r="D16" s="22" t="str">
        <f>VLOOKUP(B16,'State Interconnection Mapping'!$A$3:$B$52,2,0)</f>
        <v>Eastern</v>
      </c>
      <c r="E16" s="9">
        <v>309</v>
      </c>
      <c r="F16" s="9">
        <f t="shared" si="2"/>
        <v>1488.7620000000002</v>
      </c>
      <c r="G16" s="9">
        <v>0</v>
      </c>
      <c r="H16" s="9">
        <f t="shared" si="3"/>
        <v>0</v>
      </c>
      <c r="I16" s="9">
        <v>0</v>
      </c>
      <c r="J16" s="6">
        <f t="shared" si="4"/>
        <v>0</v>
      </c>
    </row>
    <row r="17" spans="2:10" x14ac:dyDescent="0.25">
      <c r="B17" s="4" t="s">
        <v>8</v>
      </c>
      <c r="C17" s="75" t="s">
        <v>87</v>
      </c>
      <c r="D17" s="22" t="str">
        <f>VLOOKUP(B17,'State Interconnection Mapping'!$A$3:$B$52,2,0)</f>
        <v>Eastern</v>
      </c>
      <c r="E17" s="9">
        <v>1671</v>
      </c>
      <c r="F17" s="9">
        <f t="shared" si="2"/>
        <v>8050.8780000000015</v>
      </c>
      <c r="G17" s="9">
        <v>0</v>
      </c>
      <c r="H17" s="9">
        <f t="shared" si="3"/>
        <v>0</v>
      </c>
      <c r="I17" s="9">
        <v>0</v>
      </c>
      <c r="J17" s="6">
        <f t="shared" si="4"/>
        <v>0</v>
      </c>
    </row>
    <row r="18" spans="2:10" x14ac:dyDescent="0.25">
      <c r="B18" s="4" t="s">
        <v>9</v>
      </c>
      <c r="C18" s="75" t="s">
        <v>88</v>
      </c>
      <c r="D18" s="22" t="str">
        <f>VLOOKUP(B18,'State Interconnection Mapping'!$A$3:$B$52,2,0)</f>
        <v>Eastern</v>
      </c>
      <c r="E18" s="9">
        <v>0</v>
      </c>
      <c r="F18" s="9">
        <f t="shared" si="2"/>
        <v>0</v>
      </c>
      <c r="G18" s="9">
        <v>0</v>
      </c>
      <c r="H18" s="9">
        <f t="shared" si="3"/>
        <v>0</v>
      </c>
      <c r="I18" s="9">
        <v>2200</v>
      </c>
      <c r="J18" s="6">
        <f t="shared" si="4"/>
        <v>12719.52</v>
      </c>
    </row>
    <row r="19" spans="2:10" x14ac:dyDescent="0.25">
      <c r="B19" s="4" t="s">
        <v>10</v>
      </c>
      <c r="C19" s="75" t="s">
        <v>90</v>
      </c>
      <c r="D19" s="22" t="str">
        <f>VLOOKUP(B19,'State Interconnection Mapping'!$A$3:$B$52,2,0)</f>
        <v>Western</v>
      </c>
      <c r="E19" s="9">
        <v>0</v>
      </c>
      <c r="F19" s="9">
        <f t="shared" si="2"/>
        <v>0</v>
      </c>
      <c r="G19" s="9">
        <v>0</v>
      </c>
      <c r="H19" s="9">
        <f t="shared" si="3"/>
        <v>0</v>
      </c>
      <c r="I19" s="9">
        <v>0</v>
      </c>
      <c r="J19" s="6">
        <f t="shared" si="4"/>
        <v>0</v>
      </c>
    </row>
    <row r="20" spans="2:10" x14ac:dyDescent="0.25">
      <c r="B20" s="4" t="s">
        <v>11</v>
      </c>
      <c r="C20" s="75" t="s">
        <v>91</v>
      </c>
      <c r="D20" s="22" t="str">
        <f>VLOOKUP(B20,'State Interconnection Mapping'!$A$3:$B$52,2,0)</f>
        <v>Eastern</v>
      </c>
      <c r="E20" s="9">
        <v>570.6</v>
      </c>
      <c r="F20" s="9">
        <f t="shared" si="2"/>
        <v>2749.1508000000003</v>
      </c>
      <c r="G20" s="9">
        <v>0</v>
      </c>
      <c r="H20" s="9">
        <f t="shared" si="3"/>
        <v>0</v>
      </c>
      <c r="I20" s="9">
        <v>0</v>
      </c>
      <c r="J20" s="6">
        <f t="shared" si="4"/>
        <v>0</v>
      </c>
    </row>
    <row r="21" spans="2:10" x14ac:dyDescent="0.25">
      <c r="B21" s="4" t="s">
        <v>12</v>
      </c>
      <c r="C21" s="75" t="s">
        <v>92</v>
      </c>
      <c r="D21" s="22" t="str">
        <f>VLOOKUP(B21,'State Interconnection Mapping'!$A$3:$B$52,2,0)</f>
        <v>Eastern</v>
      </c>
      <c r="E21" s="9">
        <v>0</v>
      </c>
      <c r="F21" s="9">
        <f t="shared" si="2"/>
        <v>0</v>
      </c>
      <c r="G21" s="9">
        <v>0</v>
      </c>
      <c r="H21" s="9">
        <f t="shared" si="3"/>
        <v>0</v>
      </c>
      <c r="I21" s="9">
        <v>0</v>
      </c>
      <c r="J21" s="6">
        <f t="shared" si="4"/>
        <v>0</v>
      </c>
    </row>
    <row r="22" spans="2:10" x14ac:dyDescent="0.25">
      <c r="B22" s="4" t="s">
        <v>13</v>
      </c>
      <c r="C22" s="75" t="s">
        <v>89</v>
      </c>
      <c r="D22" s="22" t="str">
        <f>VLOOKUP(B22,'State Interconnection Mapping'!$A$3:$B$52,2,0)</f>
        <v>Eastern</v>
      </c>
      <c r="E22" s="9">
        <v>0</v>
      </c>
      <c r="F22" s="9">
        <f t="shared" si="2"/>
        <v>0</v>
      </c>
      <c r="G22" s="9">
        <v>0</v>
      </c>
      <c r="H22" s="9">
        <f t="shared" si="3"/>
        <v>0</v>
      </c>
      <c r="I22" s="9">
        <v>0</v>
      </c>
      <c r="J22" s="6">
        <f t="shared" si="4"/>
        <v>0</v>
      </c>
    </row>
    <row r="23" spans="2:10" x14ac:dyDescent="0.25">
      <c r="B23" s="4" t="s">
        <v>14</v>
      </c>
      <c r="C23" s="75" t="s">
        <v>93</v>
      </c>
      <c r="D23" s="22" t="str">
        <f>VLOOKUP(B23,'State Interconnection Mapping'!$A$3:$B$52,2,0)</f>
        <v>Eastern</v>
      </c>
      <c r="E23" s="9">
        <v>138</v>
      </c>
      <c r="F23" s="9">
        <f t="shared" si="2"/>
        <v>664.88400000000001</v>
      </c>
      <c r="G23" s="9">
        <v>0</v>
      </c>
      <c r="H23" s="9">
        <f t="shared" si="3"/>
        <v>0</v>
      </c>
      <c r="I23" s="9">
        <v>0</v>
      </c>
      <c r="J23" s="6">
        <f t="shared" si="4"/>
        <v>0</v>
      </c>
    </row>
    <row r="24" spans="2:10" x14ac:dyDescent="0.25">
      <c r="B24" s="4" t="s">
        <v>15</v>
      </c>
      <c r="C24" s="75" t="s">
        <v>94</v>
      </c>
      <c r="D24" s="22" t="str">
        <f>VLOOKUP(B24,'State Interconnection Mapping'!$A$3:$B$52,2,0)</f>
        <v>Eastern</v>
      </c>
      <c r="E24" s="9">
        <v>640</v>
      </c>
      <c r="F24" s="9">
        <f t="shared" si="2"/>
        <v>3083.5200000000004</v>
      </c>
      <c r="G24" s="9">
        <v>0</v>
      </c>
      <c r="H24" s="9">
        <f t="shared" si="3"/>
        <v>0</v>
      </c>
      <c r="I24" s="9">
        <v>0</v>
      </c>
      <c r="J24" s="6">
        <f t="shared" si="4"/>
        <v>0</v>
      </c>
    </row>
    <row r="25" spans="2:10" x14ac:dyDescent="0.25">
      <c r="B25" s="4" t="s">
        <v>16</v>
      </c>
      <c r="C25" s="75" t="s">
        <v>95</v>
      </c>
      <c r="D25" s="22" t="str">
        <f>VLOOKUP(B25,'State Interconnection Mapping'!$A$3:$B$52,2,0)</f>
        <v>Eastern</v>
      </c>
      <c r="E25" s="9">
        <v>640</v>
      </c>
      <c r="F25" s="9">
        <f t="shared" si="2"/>
        <v>3083.5200000000004</v>
      </c>
      <c r="G25" s="9">
        <v>0</v>
      </c>
      <c r="H25" s="9">
        <f t="shared" si="3"/>
        <v>0</v>
      </c>
      <c r="I25" s="9">
        <v>0</v>
      </c>
      <c r="J25" s="6">
        <f t="shared" si="4"/>
        <v>0</v>
      </c>
    </row>
    <row r="26" spans="2:10" x14ac:dyDescent="0.25">
      <c r="B26" s="4" t="s">
        <v>17</v>
      </c>
      <c r="C26" s="75" t="s">
        <v>98</v>
      </c>
      <c r="D26" s="22" t="str">
        <f>VLOOKUP(B26,'State Interconnection Mapping'!$A$3:$B$52,2,0)</f>
        <v>Eastern</v>
      </c>
      <c r="E26" s="9">
        <v>0</v>
      </c>
      <c r="F26" s="9">
        <f t="shared" si="2"/>
        <v>0</v>
      </c>
      <c r="G26" s="9">
        <v>0</v>
      </c>
      <c r="H26" s="9">
        <f t="shared" si="3"/>
        <v>0</v>
      </c>
      <c r="I26" s="9">
        <v>0</v>
      </c>
      <c r="J26" s="6">
        <f t="shared" si="4"/>
        <v>0</v>
      </c>
    </row>
    <row r="27" spans="2:10" x14ac:dyDescent="0.25">
      <c r="B27" s="4" t="s">
        <v>18</v>
      </c>
      <c r="C27" s="75" t="s">
        <v>97</v>
      </c>
      <c r="D27" s="22" t="str">
        <f>VLOOKUP(B27,'State Interconnection Mapping'!$A$3:$B$52,2,0)</f>
        <v>Eastern</v>
      </c>
      <c r="E27" s="9">
        <v>0</v>
      </c>
      <c r="F27" s="9">
        <f t="shared" si="2"/>
        <v>0</v>
      </c>
      <c r="G27" s="9">
        <v>0</v>
      </c>
      <c r="H27" s="9">
        <f t="shared" si="3"/>
        <v>0</v>
      </c>
      <c r="I27" s="9">
        <v>0</v>
      </c>
      <c r="J27" s="6">
        <f t="shared" si="4"/>
        <v>0</v>
      </c>
    </row>
    <row r="28" spans="2:10" x14ac:dyDescent="0.25">
      <c r="B28" s="4" t="s">
        <v>19</v>
      </c>
      <c r="C28" s="75" t="s">
        <v>96</v>
      </c>
      <c r="D28" s="22" t="str">
        <f>VLOOKUP(B28,'State Interconnection Mapping'!$A$3:$B$52,2,0)</f>
        <v>Eastern</v>
      </c>
      <c r="E28" s="9">
        <v>0</v>
      </c>
      <c r="F28" s="9">
        <f t="shared" si="2"/>
        <v>0</v>
      </c>
      <c r="G28" s="9">
        <v>0</v>
      </c>
      <c r="H28" s="9">
        <f t="shared" si="3"/>
        <v>0</v>
      </c>
      <c r="I28" s="9">
        <v>0</v>
      </c>
      <c r="J28" s="6">
        <f t="shared" si="4"/>
        <v>0</v>
      </c>
    </row>
    <row r="29" spans="2:10" x14ac:dyDescent="0.25">
      <c r="B29" s="4" t="s">
        <v>20</v>
      </c>
      <c r="C29" s="75" t="s">
        <v>99</v>
      </c>
      <c r="D29" s="22" t="str">
        <f>VLOOKUP(B29,'State Interconnection Mapping'!$A$3:$B$52,2,0)</f>
        <v>Eastern</v>
      </c>
      <c r="E29" s="9">
        <v>0</v>
      </c>
      <c r="F29" s="9">
        <f t="shared" si="2"/>
        <v>0</v>
      </c>
      <c r="G29" s="9">
        <v>0</v>
      </c>
      <c r="H29" s="9">
        <f t="shared" si="3"/>
        <v>0</v>
      </c>
      <c r="I29" s="9">
        <v>0</v>
      </c>
      <c r="J29" s="6">
        <f t="shared" si="4"/>
        <v>0</v>
      </c>
    </row>
    <row r="30" spans="2:10" x14ac:dyDescent="0.25">
      <c r="B30" s="4" t="s">
        <v>21</v>
      </c>
      <c r="C30" s="75" t="s">
        <v>100</v>
      </c>
      <c r="D30" s="22" t="str">
        <f>VLOOKUP(B30,'State Interconnection Mapping'!$A$3:$B$52,2,0)</f>
        <v>Eastern</v>
      </c>
      <c r="E30" s="9">
        <v>0</v>
      </c>
      <c r="F30" s="9">
        <f t="shared" si="2"/>
        <v>0</v>
      </c>
      <c r="G30" s="9">
        <v>0</v>
      </c>
      <c r="H30" s="9">
        <f t="shared" si="3"/>
        <v>0</v>
      </c>
      <c r="I30" s="9">
        <v>0</v>
      </c>
      <c r="J30" s="6">
        <f t="shared" si="4"/>
        <v>0</v>
      </c>
    </row>
    <row r="31" spans="2:10" x14ac:dyDescent="0.25">
      <c r="B31" s="4" t="s">
        <v>22</v>
      </c>
      <c r="C31" s="75" t="s">
        <v>102</v>
      </c>
      <c r="D31" s="22" t="str">
        <f>VLOOKUP(B31,'State Interconnection Mapping'!$A$3:$B$52,2,0)</f>
        <v>Eastern</v>
      </c>
      <c r="E31" s="9">
        <v>0</v>
      </c>
      <c r="F31" s="9">
        <f t="shared" si="2"/>
        <v>0</v>
      </c>
      <c r="G31" s="9">
        <v>593</v>
      </c>
      <c r="H31" s="9">
        <f t="shared" si="3"/>
        <v>3116.808</v>
      </c>
      <c r="I31" s="9">
        <v>0</v>
      </c>
      <c r="J31" s="6">
        <f t="shared" si="4"/>
        <v>0</v>
      </c>
    </row>
    <row r="32" spans="2:10" x14ac:dyDescent="0.25">
      <c r="B32" s="4" t="s">
        <v>23</v>
      </c>
      <c r="C32" s="75" t="s">
        <v>101</v>
      </c>
      <c r="D32" s="22" t="str">
        <f>VLOOKUP(B32,'State Interconnection Mapping'!$A$3:$B$52,2,0)</f>
        <v>Eastern</v>
      </c>
      <c r="E32" s="9">
        <v>0</v>
      </c>
      <c r="F32" s="9">
        <f t="shared" si="2"/>
        <v>0</v>
      </c>
      <c r="G32" s="9">
        <v>0</v>
      </c>
      <c r="H32" s="9">
        <f t="shared" si="3"/>
        <v>0</v>
      </c>
      <c r="I32" s="9">
        <v>0</v>
      </c>
      <c r="J32" s="6">
        <f t="shared" si="4"/>
        <v>0</v>
      </c>
    </row>
    <row r="33" spans="2:10" x14ac:dyDescent="0.25">
      <c r="B33" s="4" t="s">
        <v>24</v>
      </c>
      <c r="C33" s="75" t="s">
        <v>103</v>
      </c>
      <c r="D33" s="22" t="str">
        <f>VLOOKUP(B33,'State Interconnection Mapping'!$A$3:$B$52,2,0)</f>
        <v>Western</v>
      </c>
      <c r="E33" s="9">
        <v>0</v>
      </c>
      <c r="F33" s="9">
        <f t="shared" si="2"/>
        <v>0</v>
      </c>
      <c r="G33" s="9">
        <v>0</v>
      </c>
      <c r="H33" s="9">
        <f t="shared" si="3"/>
        <v>0</v>
      </c>
      <c r="I33" s="9">
        <v>0</v>
      </c>
      <c r="J33" s="6">
        <f t="shared" si="4"/>
        <v>0</v>
      </c>
    </row>
    <row r="34" spans="2:10" x14ac:dyDescent="0.25">
      <c r="B34" s="4" t="s">
        <v>25</v>
      </c>
      <c r="C34" s="75" t="s">
        <v>106</v>
      </c>
      <c r="D34" s="22" t="str">
        <f>VLOOKUP(B34,'State Interconnection Mapping'!$A$3:$B$52,2,0)</f>
        <v>Eastern</v>
      </c>
      <c r="E34" s="9">
        <v>0</v>
      </c>
      <c r="F34" s="9">
        <f t="shared" si="2"/>
        <v>0</v>
      </c>
      <c r="G34" s="9">
        <v>0</v>
      </c>
      <c r="H34" s="9">
        <f t="shared" si="3"/>
        <v>0</v>
      </c>
      <c r="I34" s="9">
        <v>0</v>
      </c>
      <c r="J34" s="6">
        <f t="shared" si="4"/>
        <v>0</v>
      </c>
    </row>
    <row r="35" spans="2:10" x14ac:dyDescent="0.25">
      <c r="B35" s="4" t="s">
        <v>26</v>
      </c>
      <c r="C35" s="75" t="s">
        <v>110</v>
      </c>
      <c r="D35" s="22" t="str">
        <f>VLOOKUP(B35,'State Interconnection Mapping'!$A$3:$B$52,2,0)</f>
        <v>Western</v>
      </c>
      <c r="E35" s="9">
        <v>0</v>
      </c>
      <c r="F35" s="9">
        <f t="shared" si="2"/>
        <v>0</v>
      </c>
      <c r="G35" s="9">
        <v>0</v>
      </c>
      <c r="H35" s="9">
        <f t="shared" si="3"/>
        <v>0</v>
      </c>
      <c r="I35" s="9">
        <v>0</v>
      </c>
      <c r="J35" s="6">
        <f t="shared" si="4"/>
        <v>0</v>
      </c>
    </row>
    <row r="36" spans="2:10" x14ac:dyDescent="0.25">
      <c r="B36" s="4" t="s">
        <v>27</v>
      </c>
      <c r="C36" s="75" t="s">
        <v>107</v>
      </c>
      <c r="D36" s="22" t="str">
        <f>VLOOKUP(B36,'State Interconnection Mapping'!$A$3:$B$52,2,0)</f>
        <v>Eastern</v>
      </c>
      <c r="E36" s="9">
        <v>0</v>
      </c>
      <c r="F36" s="9">
        <f t="shared" si="2"/>
        <v>0</v>
      </c>
      <c r="G36" s="9">
        <v>0</v>
      </c>
      <c r="H36" s="9">
        <f t="shared" si="3"/>
        <v>0</v>
      </c>
      <c r="I36" s="9">
        <v>0</v>
      </c>
      <c r="J36" s="6">
        <f t="shared" si="4"/>
        <v>0</v>
      </c>
    </row>
    <row r="37" spans="2:10" x14ac:dyDescent="0.25">
      <c r="B37" s="4" t="s">
        <v>28</v>
      </c>
      <c r="C37" s="75" t="s">
        <v>108</v>
      </c>
      <c r="D37" s="22" t="str">
        <f>VLOOKUP(B37,'State Interconnection Mapping'!$A$3:$B$52,2,0)</f>
        <v>Eastern</v>
      </c>
      <c r="E37" s="9">
        <v>1773</v>
      </c>
      <c r="F37" s="9">
        <f t="shared" si="2"/>
        <v>8542.3140000000003</v>
      </c>
      <c r="G37" s="9">
        <v>0</v>
      </c>
      <c r="H37" s="9">
        <f t="shared" si="3"/>
        <v>0</v>
      </c>
      <c r="I37" s="9">
        <v>0</v>
      </c>
      <c r="J37" s="6">
        <f t="shared" si="4"/>
        <v>0</v>
      </c>
    </row>
    <row r="38" spans="2:10" x14ac:dyDescent="0.25">
      <c r="B38" s="4" t="s">
        <v>29</v>
      </c>
      <c r="C38" s="75" t="s">
        <v>109</v>
      </c>
      <c r="D38" s="22" t="str">
        <f>VLOOKUP(B38,'State Interconnection Mapping'!$A$3:$B$52,2,0)</f>
        <v>Western</v>
      </c>
      <c r="E38" s="9">
        <v>0</v>
      </c>
      <c r="F38" s="9">
        <f t="shared" si="2"/>
        <v>0</v>
      </c>
      <c r="G38" s="9">
        <v>0</v>
      </c>
      <c r="H38" s="9">
        <f t="shared" si="3"/>
        <v>0</v>
      </c>
      <c r="I38" s="9">
        <v>0</v>
      </c>
      <c r="J38" s="6">
        <f t="shared" si="4"/>
        <v>0</v>
      </c>
    </row>
    <row r="39" spans="2:10" x14ac:dyDescent="0.25">
      <c r="B39" s="4" t="s">
        <v>30</v>
      </c>
      <c r="C39" s="75" t="s">
        <v>111</v>
      </c>
      <c r="D39" s="22" t="str">
        <f>VLOOKUP(B39,'State Interconnection Mapping'!$A$3:$B$52,2,0)</f>
        <v>Eastern</v>
      </c>
      <c r="E39" s="9">
        <v>0</v>
      </c>
      <c r="F39" s="9">
        <f t="shared" si="2"/>
        <v>0</v>
      </c>
      <c r="G39" s="9">
        <v>0</v>
      </c>
      <c r="H39" s="9">
        <f t="shared" si="3"/>
        <v>0</v>
      </c>
      <c r="I39" s="9">
        <v>0</v>
      </c>
      <c r="J39" s="6">
        <f t="shared" si="4"/>
        <v>0</v>
      </c>
    </row>
    <row r="40" spans="2:10" x14ac:dyDescent="0.25">
      <c r="B40" s="4" t="s">
        <v>31</v>
      </c>
      <c r="C40" s="75" t="s">
        <v>104</v>
      </c>
      <c r="D40" s="22" t="str">
        <f>VLOOKUP(B40,'State Interconnection Mapping'!$A$3:$B$52,2,0)</f>
        <v>Eastern</v>
      </c>
      <c r="E40" s="9">
        <v>625</v>
      </c>
      <c r="F40" s="9">
        <f t="shared" si="2"/>
        <v>3011.2500000000005</v>
      </c>
      <c r="G40" s="9">
        <v>0</v>
      </c>
      <c r="H40" s="9">
        <f t="shared" si="3"/>
        <v>0</v>
      </c>
      <c r="I40" s="9">
        <v>0</v>
      </c>
      <c r="J40" s="6">
        <f t="shared" si="4"/>
        <v>0</v>
      </c>
    </row>
    <row r="41" spans="2:10" x14ac:dyDescent="0.25">
      <c r="B41" s="4" t="s">
        <v>32</v>
      </c>
      <c r="C41" s="75" t="s">
        <v>105</v>
      </c>
      <c r="D41" s="22" t="str">
        <f>VLOOKUP(B41,'State Interconnection Mapping'!$A$3:$B$52,2,0)</f>
        <v>Eastern</v>
      </c>
      <c r="E41" s="9">
        <v>0</v>
      </c>
      <c r="F41" s="9">
        <f t="shared" si="2"/>
        <v>0</v>
      </c>
      <c r="G41" s="9">
        <v>62</v>
      </c>
      <c r="H41" s="9">
        <f t="shared" si="3"/>
        <v>325.87200000000001</v>
      </c>
      <c r="I41" s="9">
        <v>0</v>
      </c>
      <c r="J41" s="6">
        <f t="shared" si="4"/>
        <v>0</v>
      </c>
    </row>
    <row r="42" spans="2:10" x14ac:dyDescent="0.25">
      <c r="B42" s="4" t="s">
        <v>33</v>
      </c>
      <c r="C42" s="75" t="s">
        <v>112</v>
      </c>
      <c r="D42" s="22" t="str">
        <f>VLOOKUP(B42,'State Interconnection Mapping'!$A$3:$B$52,2,0)</f>
        <v>Eastern</v>
      </c>
      <c r="E42" s="9">
        <v>0</v>
      </c>
      <c r="F42" s="9">
        <f t="shared" ref="F42:F59" si="5">E42*8760*0.55*10^-3</f>
        <v>0</v>
      </c>
      <c r="G42" s="9">
        <v>0</v>
      </c>
      <c r="H42" s="9">
        <f t="shared" ref="H42:H59" si="6">G42*8760*0.6*10^-3</f>
        <v>0</v>
      </c>
      <c r="I42" s="9">
        <v>0</v>
      </c>
      <c r="J42" s="6">
        <f t="shared" ref="J42:J59" si="7">I42*8760*0.66*10^-3</f>
        <v>0</v>
      </c>
    </row>
    <row r="43" spans="2:10" x14ac:dyDescent="0.25">
      <c r="B43" s="4" t="s">
        <v>34</v>
      </c>
      <c r="C43" s="75" t="s">
        <v>113</v>
      </c>
      <c r="D43" s="22" t="str">
        <f>VLOOKUP(B43,'State Interconnection Mapping'!$A$3:$B$52,2,0)</f>
        <v>Eastern</v>
      </c>
      <c r="E43" s="9">
        <v>0</v>
      </c>
      <c r="F43" s="9">
        <f t="shared" si="5"/>
        <v>0</v>
      </c>
      <c r="G43" s="9">
        <v>0</v>
      </c>
      <c r="H43" s="9">
        <f t="shared" si="6"/>
        <v>0</v>
      </c>
      <c r="I43" s="9">
        <v>0</v>
      </c>
      <c r="J43" s="6">
        <f t="shared" si="7"/>
        <v>0</v>
      </c>
    </row>
    <row r="44" spans="2:10" x14ac:dyDescent="0.25">
      <c r="B44" s="4" t="s">
        <v>35</v>
      </c>
      <c r="C44" s="75" t="s">
        <v>114</v>
      </c>
      <c r="D44" s="22" t="str">
        <f>VLOOKUP(B44,'State Interconnection Mapping'!$A$3:$B$52,2,0)</f>
        <v>Western</v>
      </c>
      <c r="E44" s="9">
        <v>0</v>
      </c>
      <c r="F44" s="9">
        <f t="shared" si="5"/>
        <v>0</v>
      </c>
      <c r="G44" s="9">
        <v>0</v>
      </c>
      <c r="H44" s="9">
        <f t="shared" si="6"/>
        <v>0</v>
      </c>
      <c r="I44" s="9">
        <v>0</v>
      </c>
      <c r="J44" s="6">
        <f t="shared" si="7"/>
        <v>0</v>
      </c>
    </row>
    <row r="45" spans="2:10" x14ac:dyDescent="0.25">
      <c r="B45" s="4" t="s">
        <v>36</v>
      </c>
      <c r="C45" s="75" t="s">
        <v>115</v>
      </c>
      <c r="D45" s="22" t="str">
        <f>VLOOKUP(B45,'State Interconnection Mapping'!$A$3:$B$52,2,0)</f>
        <v>Eastern</v>
      </c>
      <c r="E45" s="9">
        <v>1530</v>
      </c>
      <c r="F45" s="9">
        <f t="shared" si="5"/>
        <v>7371.5400000000009</v>
      </c>
      <c r="G45" s="9">
        <v>0</v>
      </c>
      <c r="H45" s="9">
        <f t="shared" si="6"/>
        <v>0</v>
      </c>
      <c r="I45" s="9">
        <v>0</v>
      </c>
      <c r="J45" s="6">
        <f t="shared" si="7"/>
        <v>0</v>
      </c>
    </row>
    <row r="46" spans="2:10" x14ac:dyDescent="0.25">
      <c r="B46" s="4" t="s">
        <v>37</v>
      </c>
      <c r="C46" s="75" t="s">
        <v>116</v>
      </c>
      <c r="D46" s="22" t="str">
        <f>VLOOKUP(B46,'State Interconnection Mapping'!$A$3:$B$52,2,0)</f>
        <v>Eastern</v>
      </c>
      <c r="E46" s="9">
        <v>0</v>
      </c>
      <c r="F46" s="9">
        <f t="shared" si="5"/>
        <v>0</v>
      </c>
      <c r="G46" s="9">
        <v>0</v>
      </c>
      <c r="H46" s="9">
        <f t="shared" si="6"/>
        <v>0</v>
      </c>
      <c r="I46" s="9">
        <v>0</v>
      </c>
      <c r="J46" s="6">
        <f t="shared" si="7"/>
        <v>0</v>
      </c>
    </row>
    <row r="47" spans="2:10" x14ac:dyDescent="0.25">
      <c r="B47" s="4" t="s">
        <v>38</v>
      </c>
      <c r="C47" s="75" t="s">
        <v>117</v>
      </c>
      <c r="D47" s="22" t="str">
        <f>VLOOKUP(B47,'State Interconnection Mapping'!$A$3:$B$52,2,0)</f>
        <v>Eastern</v>
      </c>
      <c r="E47" s="9">
        <v>0</v>
      </c>
      <c r="F47" s="9">
        <f t="shared" si="5"/>
        <v>0</v>
      </c>
      <c r="G47" s="9">
        <v>0</v>
      </c>
      <c r="H47" s="9">
        <f t="shared" si="6"/>
        <v>0</v>
      </c>
      <c r="I47" s="9">
        <v>2200</v>
      </c>
      <c r="J47" s="6">
        <f t="shared" si="7"/>
        <v>12719.52</v>
      </c>
    </row>
    <row r="48" spans="2:10" x14ac:dyDescent="0.25">
      <c r="B48" s="4" t="s">
        <v>39</v>
      </c>
      <c r="C48" s="75" t="s">
        <v>118</v>
      </c>
      <c r="D48" s="22" t="str">
        <f>VLOOKUP(B48,'State Interconnection Mapping'!$A$3:$B$52,2,0)</f>
        <v>Eastern</v>
      </c>
      <c r="E48" s="9">
        <v>0</v>
      </c>
      <c r="F48" s="9">
        <f t="shared" si="5"/>
        <v>0</v>
      </c>
      <c r="G48" s="9">
        <v>0</v>
      </c>
      <c r="H48" s="9">
        <f t="shared" si="6"/>
        <v>0</v>
      </c>
      <c r="I48" s="9">
        <v>0</v>
      </c>
      <c r="J48" s="6">
        <f t="shared" si="7"/>
        <v>0</v>
      </c>
    </row>
    <row r="49" spans="2:10" x14ac:dyDescent="0.25">
      <c r="B49" s="4" t="s">
        <v>40</v>
      </c>
      <c r="C49" s="75" t="s">
        <v>119</v>
      </c>
      <c r="D49" s="22" t="str">
        <f>VLOOKUP(B49,'State Interconnection Mapping'!$A$3:$B$52,2,0)</f>
        <v>Eastern</v>
      </c>
      <c r="E49" s="9">
        <v>0</v>
      </c>
      <c r="F49" s="9">
        <f t="shared" si="5"/>
        <v>0</v>
      </c>
      <c r="G49" s="9">
        <v>0</v>
      </c>
      <c r="H49" s="9">
        <f t="shared" si="6"/>
        <v>0</v>
      </c>
      <c r="I49" s="9">
        <v>1122</v>
      </c>
      <c r="J49" s="6">
        <f t="shared" si="7"/>
        <v>6486.9552000000003</v>
      </c>
    </row>
    <row r="50" spans="2:10" x14ac:dyDescent="0.25">
      <c r="B50" s="4" t="s">
        <v>41</v>
      </c>
      <c r="C50" s="75" t="s">
        <v>120</v>
      </c>
      <c r="D50" s="22" t="str">
        <f>VLOOKUP(B50,'State Interconnection Mapping'!$A$3:$B$52,2,0)</f>
        <v>Texas</v>
      </c>
      <c r="E50" s="9">
        <v>2488.8000000000002</v>
      </c>
      <c r="F50" s="9">
        <f t="shared" si="5"/>
        <v>11991.038400000001</v>
      </c>
      <c r="G50" s="9">
        <v>0</v>
      </c>
      <c r="H50" s="9">
        <f t="shared" si="6"/>
        <v>0</v>
      </c>
      <c r="I50" s="9">
        <v>0</v>
      </c>
      <c r="J50" s="6">
        <f t="shared" si="7"/>
        <v>0</v>
      </c>
    </row>
    <row r="51" spans="2:10" x14ac:dyDescent="0.25">
      <c r="B51" s="4" t="s">
        <v>42</v>
      </c>
      <c r="C51" s="75" t="s">
        <v>122</v>
      </c>
      <c r="D51" s="22" t="str">
        <f>VLOOKUP(B51,'State Interconnection Mapping'!$A$3:$B$52,2,0)</f>
        <v>Western</v>
      </c>
      <c r="E51" s="9">
        <v>629</v>
      </c>
      <c r="F51" s="9">
        <f t="shared" si="5"/>
        <v>3030.5220000000004</v>
      </c>
      <c r="G51" s="9">
        <v>0</v>
      </c>
      <c r="H51" s="9">
        <f t="shared" si="6"/>
        <v>0</v>
      </c>
      <c r="I51" s="9">
        <v>0</v>
      </c>
      <c r="J51" s="6">
        <f t="shared" si="7"/>
        <v>0</v>
      </c>
    </row>
    <row r="52" spans="2:10" x14ac:dyDescent="0.25">
      <c r="B52" s="4" t="s">
        <v>43</v>
      </c>
      <c r="C52" s="75" t="s">
        <v>123</v>
      </c>
      <c r="D52" s="22" t="str">
        <f>VLOOKUP(B52,'State Interconnection Mapping'!$A$3:$B$52,2,0)</f>
        <v>Eastern</v>
      </c>
      <c r="E52" s="9">
        <v>2736.7</v>
      </c>
      <c r="F52" s="9">
        <f t="shared" si="5"/>
        <v>13185.420600000001</v>
      </c>
      <c r="G52" s="9">
        <v>0</v>
      </c>
      <c r="H52" s="9">
        <f t="shared" si="6"/>
        <v>0</v>
      </c>
      <c r="I52" s="9">
        <v>0</v>
      </c>
      <c r="J52" s="6">
        <f t="shared" si="7"/>
        <v>0</v>
      </c>
    </row>
    <row r="53" spans="2:10" x14ac:dyDescent="0.25">
      <c r="B53" s="4" t="s">
        <v>44</v>
      </c>
      <c r="C53" s="75" t="s">
        <v>124</v>
      </c>
      <c r="D53" s="22" t="str">
        <f>VLOOKUP(B53,'State Interconnection Mapping'!$A$3:$B$52,2,0)</f>
        <v>Western</v>
      </c>
      <c r="E53" s="9">
        <v>0</v>
      </c>
      <c r="F53" s="9">
        <f t="shared" si="5"/>
        <v>0</v>
      </c>
      <c r="G53" s="9">
        <v>0</v>
      </c>
      <c r="H53" s="9">
        <f t="shared" si="6"/>
        <v>0</v>
      </c>
      <c r="I53" s="9">
        <v>0</v>
      </c>
      <c r="J53" s="6">
        <f t="shared" si="7"/>
        <v>0</v>
      </c>
    </row>
    <row r="54" spans="2:10" x14ac:dyDescent="0.25">
      <c r="B54" s="4" t="s">
        <v>45</v>
      </c>
      <c r="C54" s="75" t="s">
        <v>126</v>
      </c>
      <c r="D54" s="22" t="str">
        <f>VLOOKUP(B54,'State Interconnection Mapping'!$A$3:$B$52,2,0)</f>
        <v>Eastern</v>
      </c>
      <c r="E54" s="9">
        <v>0</v>
      </c>
      <c r="F54" s="9">
        <f t="shared" si="5"/>
        <v>0</v>
      </c>
      <c r="G54" s="9">
        <v>0</v>
      </c>
      <c r="H54" s="9">
        <f t="shared" si="6"/>
        <v>0</v>
      </c>
      <c r="I54" s="9">
        <v>0</v>
      </c>
      <c r="J54" s="6">
        <f t="shared" si="7"/>
        <v>0</v>
      </c>
    </row>
    <row r="55" spans="2:10" x14ac:dyDescent="0.25">
      <c r="B55" s="4" t="s">
        <v>46</v>
      </c>
      <c r="C55" s="75" t="s">
        <v>125</v>
      </c>
      <c r="D55" s="22" t="str">
        <f>VLOOKUP(B55,'State Interconnection Mapping'!$A$3:$B$52,2,0)</f>
        <v>Eastern</v>
      </c>
      <c r="E55" s="9">
        <v>0</v>
      </c>
      <c r="F55" s="9">
        <f t="shared" si="5"/>
        <v>0</v>
      </c>
      <c r="G55" s="9">
        <v>0</v>
      </c>
      <c r="H55" s="9">
        <f t="shared" si="6"/>
        <v>0</v>
      </c>
      <c r="I55" s="9">
        <v>0</v>
      </c>
      <c r="J55" s="6">
        <f t="shared" si="7"/>
        <v>0</v>
      </c>
    </row>
    <row r="56" spans="2:10" x14ac:dyDescent="0.25">
      <c r="B56" s="4" t="s">
        <v>47</v>
      </c>
      <c r="C56" s="75" t="s">
        <v>127</v>
      </c>
      <c r="D56" s="22" t="str">
        <f>VLOOKUP(B56,'State Interconnection Mapping'!$A$3:$B$52,2,0)</f>
        <v>Western</v>
      </c>
      <c r="E56" s="9">
        <v>100</v>
      </c>
      <c r="F56" s="9">
        <f t="shared" si="5"/>
        <v>481.80000000000007</v>
      </c>
      <c r="G56" s="9">
        <v>0</v>
      </c>
      <c r="H56" s="9">
        <f t="shared" si="6"/>
        <v>0</v>
      </c>
      <c r="I56" s="9">
        <v>0</v>
      </c>
      <c r="J56" s="6">
        <f t="shared" si="7"/>
        <v>0</v>
      </c>
    </row>
    <row r="57" spans="2:10" x14ac:dyDescent="0.25">
      <c r="B57" s="8" t="s">
        <v>65</v>
      </c>
      <c r="C57" s="33"/>
      <c r="D57" s="1" t="str">
        <f>VLOOKUP(B57,'State Interconnection Mapping'!$A$3:$B$52,2,0)</f>
        <v>Western</v>
      </c>
      <c r="E57" s="9">
        <v>0</v>
      </c>
      <c r="F57" s="9">
        <f t="shared" si="5"/>
        <v>0</v>
      </c>
      <c r="G57" s="9">
        <v>0</v>
      </c>
      <c r="H57" s="9">
        <f t="shared" si="6"/>
        <v>0</v>
      </c>
      <c r="I57" s="9">
        <v>0</v>
      </c>
      <c r="J57" s="6">
        <f t="shared" si="7"/>
        <v>0</v>
      </c>
    </row>
    <row r="58" spans="2:10" x14ac:dyDescent="0.25">
      <c r="B58" s="8" t="s">
        <v>66</v>
      </c>
      <c r="C58" s="33"/>
      <c r="D58" s="1" t="str">
        <f>VLOOKUP(B58,'State Interconnection Mapping'!$A$3:$B$52,2,0)</f>
        <v>Western</v>
      </c>
      <c r="E58" s="9">
        <v>0</v>
      </c>
      <c r="F58" s="9">
        <f t="shared" si="5"/>
        <v>0</v>
      </c>
      <c r="G58" s="9">
        <v>0</v>
      </c>
      <c r="H58" s="9">
        <f t="shared" si="6"/>
        <v>0</v>
      </c>
      <c r="I58" s="9">
        <v>0</v>
      </c>
      <c r="J58" s="6">
        <f t="shared" si="7"/>
        <v>0</v>
      </c>
    </row>
    <row r="59" spans="2:10" ht="15.75" thickBot="1" x14ac:dyDescent="0.3">
      <c r="B59" s="12" t="s">
        <v>67</v>
      </c>
      <c r="C59" s="34"/>
      <c r="D59" s="13" t="str">
        <f>VLOOKUP(B59,'State Interconnection Mapping'!$A$3:$B$52,2,0)</f>
        <v>Western</v>
      </c>
      <c r="E59" s="10">
        <v>0</v>
      </c>
      <c r="F59" s="10">
        <f t="shared" si="5"/>
        <v>0</v>
      </c>
      <c r="G59" s="10">
        <v>0</v>
      </c>
      <c r="H59" s="10">
        <f t="shared" si="6"/>
        <v>0</v>
      </c>
      <c r="I59" s="10">
        <v>0</v>
      </c>
      <c r="J59" s="7">
        <f t="shared" si="7"/>
        <v>0</v>
      </c>
    </row>
  </sheetData>
  <mergeCells count="8">
    <mergeCell ref="G4:H4"/>
    <mergeCell ref="E4:F4"/>
    <mergeCell ref="I4:J4"/>
    <mergeCell ref="B9:C9"/>
    <mergeCell ref="B6:D6"/>
    <mergeCell ref="B5:D5"/>
    <mergeCell ref="B7:D7"/>
    <mergeCell ref="B8:D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7"/>
  <sheetViews>
    <sheetView workbookViewId="0">
      <selection activeCell="E29" sqref="E29"/>
    </sheetView>
  </sheetViews>
  <sheetFormatPr defaultRowHeight="15" x14ac:dyDescent="0.25"/>
  <cols>
    <col min="2" max="2" width="15.28515625" bestFit="1" customWidth="1"/>
    <col min="3" max="3" width="15.28515625" customWidth="1"/>
    <col min="4" max="4" width="21.28515625" customWidth="1"/>
  </cols>
  <sheetData>
    <row r="1" spans="2:4" ht="15.75" thickBot="1" x14ac:dyDescent="0.3">
      <c r="B1" s="122"/>
      <c r="C1" s="64"/>
      <c r="D1" s="66"/>
    </row>
    <row r="2" spans="2:4" x14ac:dyDescent="0.25">
      <c r="B2" s="81" t="s">
        <v>137</v>
      </c>
      <c r="C2" s="96"/>
      <c r="D2" s="82" t="s">
        <v>139</v>
      </c>
    </row>
    <row r="3" spans="2:4" x14ac:dyDescent="0.25">
      <c r="B3" s="176" t="s">
        <v>131</v>
      </c>
      <c r="C3" s="177"/>
      <c r="D3" s="69">
        <f>SUMIF($C$8:$C$57,$B3,$D$8:$D$57)</f>
        <v>2626987.557</v>
      </c>
    </row>
    <row r="4" spans="2:4" x14ac:dyDescent="0.25">
      <c r="B4" s="176" t="s">
        <v>132</v>
      </c>
      <c r="C4" s="177"/>
      <c r="D4" s="69">
        <f t="shared" ref="D4:D5" si="0">SUMIF($C$8:$C$57,$B4,$D$8:$D$57)</f>
        <v>671260.125</v>
      </c>
    </row>
    <row r="5" spans="2:4" ht="15.75" thickBot="1" x14ac:dyDescent="0.3">
      <c r="B5" s="178" t="s">
        <v>41</v>
      </c>
      <c r="C5" s="179"/>
      <c r="D5" s="72">
        <f t="shared" si="0"/>
        <v>365467.266</v>
      </c>
    </row>
    <row r="6" spans="2:4" ht="15.75" thickBot="1" x14ac:dyDescent="0.3">
      <c r="B6" s="64"/>
      <c r="C6" s="64"/>
      <c r="D6" s="63"/>
    </row>
    <row r="7" spans="2:4" ht="30" x14ac:dyDescent="0.25">
      <c r="B7" s="76" t="s">
        <v>0</v>
      </c>
      <c r="C7" s="97" t="s">
        <v>152</v>
      </c>
      <c r="D7" s="62" t="s">
        <v>139</v>
      </c>
    </row>
    <row r="8" spans="2:4" x14ac:dyDescent="0.25">
      <c r="B8" s="8" t="s">
        <v>1</v>
      </c>
      <c r="C8" s="1" t="str">
        <f>VLOOKUP(B8,'State Interconnection Mapping'!$A$3:$B$52,2,0)</f>
        <v>Eastern</v>
      </c>
      <c r="D8" s="79">
        <v>86182.547999999995</v>
      </c>
    </row>
    <row r="9" spans="2:4" x14ac:dyDescent="0.25">
      <c r="B9" s="8" t="s">
        <v>2</v>
      </c>
      <c r="C9" s="1" t="str">
        <f>VLOOKUP(B9,'State Interconnection Mapping'!$A$3:$B$52,2,0)</f>
        <v>Western</v>
      </c>
      <c r="D9" s="79">
        <v>75063.342000000004</v>
      </c>
    </row>
    <row r="10" spans="2:4" x14ac:dyDescent="0.25">
      <c r="B10" s="8" t="s">
        <v>3</v>
      </c>
      <c r="C10" s="1" t="str">
        <f>VLOOKUP(B10,'State Interconnection Mapping'!$A$3:$B$52,2,0)</f>
        <v>Eastern</v>
      </c>
      <c r="D10" s="79">
        <v>46859.567000000003</v>
      </c>
    </row>
    <row r="11" spans="2:4" x14ac:dyDescent="0.25">
      <c r="B11" s="8" t="s">
        <v>4</v>
      </c>
      <c r="C11" s="1" t="str">
        <f>VLOOKUP(B11,'State Interconnection Mapping'!$A$3:$B$52,2,0)</f>
        <v>Western</v>
      </c>
      <c r="D11" s="79">
        <v>259600.04399999999</v>
      </c>
    </row>
    <row r="12" spans="2:4" x14ac:dyDescent="0.25">
      <c r="B12" s="8" t="s">
        <v>5</v>
      </c>
      <c r="C12" s="1" t="str">
        <f>VLOOKUP(B12,'State Interconnection Mapping'!$A$3:$B$52,2,0)</f>
        <v>Western</v>
      </c>
      <c r="D12" s="79">
        <v>53691.644999999997</v>
      </c>
    </row>
    <row r="13" spans="2:4" x14ac:dyDescent="0.25">
      <c r="B13" s="8" t="s">
        <v>6</v>
      </c>
      <c r="C13" s="1" t="str">
        <f>VLOOKUP(B13,'State Interconnection Mapping'!$A$3:$B$52,2,0)</f>
        <v>Eastern</v>
      </c>
      <c r="D13" s="79">
        <v>29532.725999999999</v>
      </c>
    </row>
    <row r="14" spans="2:4" x14ac:dyDescent="0.25">
      <c r="B14" s="8" t="s">
        <v>7</v>
      </c>
      <c r="C14" s="1" t="str">
        <f>VLOOKUP(B14,'State Interconnection Mapping'!$A$3:$B$52,2,0)</f>
        <v>Eastern</v>
      </c>
      <c r="D14" s="79">
        <v>11530.091</v>
      </c>
    </row>
    <row r="15" spans="2:4" x14ac:dyDescent="0.25">
      <c r="B15" s="8" t="s">
        <v>8</v>
      </c>
      <c r="C15" s="1" t="str">
        <f>VLOOKUP(B15,'State Interconnection Mapping'!$A$3:$B$52,2,0)</f>
        <v>Eastern</v>
      </c>
      <c r="D15" s="79">
        <v>220674.33300000001</v>
      </c>
    </row>
    <row r="16" spans="2:4" x14ac:dyDescent="0.25">
      <c r="B16" s="8" t="s">
        <v>9</v>
      </c>
      <c r="C16" s="1" t="str">
        <f>VLOOKUP(B16,'State Interconnection Mapping'!$A$3:$B$52,2,0)</f>
        <v>Eastern</v>
      </c>
      <c r="D16" s="79">
        <v>130978.872</v>
      </c>
    </row>
    <row r="17" spans="2:4" x14ac:dyDescent="0.25">
      <c r="B17" s="8" t="s">
        <v>10</v>
      </c>
      <c r="C17" s="1" t="str">
        <f>VLOOKUP(B17,'State Interconnection Mapping'!$A$3:$B$52,2,0)</f>
        <v>Western</v>
      </c>
      <c r="D17" s="79">
        <v>23731.654999999999</v>
      </c>
    </row>
    <row r="18" spans="2:4" x14ac:dyDescent="0.25">
      <c r="B18" s="8" t="s">
        <v>11</v>
      </c>
      <c r="C18" s="1" t="str">
        <f>VLOOKUP(B18,'State Interconnection Mapping'!$A$3:$B$52,2,0)</f>
        <v>Eastern</v>
      </c>
      <c r="D18" s="79">
        <v>143540.00399999999</v>
      </c>
    </row>
    <row r="19" spans="2:4" x14ac:dyDescent="0.25">
      <c r="B19" s="8" t="s">
        <v>12</v>
      </c>
      <c r="C19" s="1" t="str">
        <f>VLOOKUP(B19,'State Interconnection Mapping'!$A$3:$B$52,2,0)</f>
        <v>Eastern</v>
      </c>
      <c r="D19" s="79">
        <v>105173.425</v>
      </c>
    </row>
    <row r="20" spans="2:4" x14ac:dyDescent="0.25">
      <c r="B20" s="8" t="s">
        <v>13</v>
      </c>
      <c r="C20" s="1" t="str">
        <f>VLOOKUP(B20,'State Interconnection Mapping'!$A$3:$B$52,2,0)</f>
        <v>Eastern</v>
      </c>
      <c r="D20" s="79">
        <v>45709.1</v>
      </c>
    </row>
    <row r="21" spans="2:4" x14ac:dyDescent="0.25">
      <c r="B21" s="8" t="s">
        <v>14</v>
      </c>
      <c r="C21" s="1" t="str">
        <f>VLOOKUP(B21,'State Interconnection Mapping'!$A$3:$B$52,2,0)</f>
        <v>Eastern</v>
      </c>
      <c r="D21" s="79">
        <v>40293.476000000002</v>
      </c>
    </row>
    <row r="22" spans="2:4" x14ac:dyDescent="0.25">
      <c r="B22" s="8" t="s">
        <v>15</v>
      </c>
      <c r="C22" s="1" t="str">
        <f>VLOOKUP(B22,'State Interconnection Mapping'!$A$3:$B$52,2,0)</f>
        <v>Eastern</v>
      </c>
      <c r="D22" s="79">
        <v>89048.49</v>
      </c>
    </row>
    <row r="23" spans="2:4" x14ac:dyDescent="0.25">
      <c r="B23" s="8" t="s">
        <v>16</v>
      </c>
      <c r="C23" s="1" t="str">
        <f>VLOOKUP(B23,'State Interconnection Mapping'!$A$3:$B$52,2,0)</f>
        <v>Eastern</v>
      </c>
      <c r="D23" s="79">
        <v>84730.743000000002</v>
      </c>
    </row>
    <row r="24" spans="2:4" x14ac:dyDescent="0.25">
      <c r="B24" s="8" t="s">
        <v>17</v>
      </c>
      <c r="C24" s="1" t="str">
        <f>VLOOKUP(B24,'State Interconnection Mapping'!$A$3:$B$52,2,0)</f>
        <v>Eastern</v>
      </c>
      <c r="D24" s="79">
        <v>11561.058999999999</v>
      </c>
    </row>
    <row r="25" spans="2:4" x14ac:dyDescent="0.25">
      <c r="B25" s="8" t="s">
        <v>18</v>
      </c>
      <c r="C25" s="1" t="str">
        <f>VLOOKUP(B25,'State Interconnection Mapping'!$A$3:$B$52,2,0)</f>
        <v>Eastern</v>
      </c>
      <c r="D25" s="79">
        <v>61836.421999999999</v>
      </c>
    </row>
    <row r="26" spans="2:4" x14ac:dyDescent="0.25">
      <c r="B26" s="8" t="s">
        <v>19</v>
      </c>
      <c r="C26" s="1" t="str">
        <f>VLOOKUP(B26,'State Interconnection Mapping'!$A$3:$B$52,2,0)</f>
        <v>Eastern</v>
      </c>
      <c r="D26" s="79">
        <v>55313.324000000001</v>
      </c>
    </row>
    <row r="27" spans="2:4" x14ac:dyDescent="0.25">
      <c r="B27" s="8" t="s">
        <v>20</v>
      </c>
      <c r="C27" s="1" t="str">
        <f>VLOOKUP(B27,'State Interconnection Mapping'!$A$3:$B$52,2,0)</f>
        <v>Eastern</v>
      </c>
      <c r="D27" s="79">
        <v>104818.19100000001</v>
      </c>
    </row>
    <row r="28" spans="2:4" x14ac:dyDescent="0.25">
      <c r="B28" s="8" t="s">
        <v>21</v>
      </c>
      <c r="C28" s="1" t="str">
        <f>VLOOKUP(B28,'State Interconnection Mapping'!$A$3:$B$52,2,0)</f>
        <v>Eastern</v>
      </c>
      <c r="D28" s="79">
        <v>67988.535000000003</v>
      </c>
    </row>
    <row r="29" spans="2:4" x14ac:dyDescent="0.25">
      <c r="B29" s="8" t="s">
        <v>22</v>
      </c>
      <c r="C29" s="1" t="str">
        <f>VLOOKUP(B29,'State Interconnection Mapping'!$A$3:$B$52,2,0)</f>
        <v>Eastern</v>
      </c>
      <c r="D29" s="79">
        <v>48387.675000000003</v>
      </c>
    </row>
    <row r="30" spans="2:4" x14ac:dyDescent="0.25">
      <c r="B30" s="8" t="s">
        <v>23</v>
      </c>
      <c r="C30" s="1" t="str">
        <f>VLOOKUP(B30,'State Interconnection Mapping'!$A$3:$B$52,2,0)</f>
        <v>Eastern</v>
      </c>
      <c r="D30" s="79">
        <v>82435.360000000001</v>
      </c>
    </row>
    <row r="31" spans="2:4" x14ac:dyDescent="0.25">
      <c r="B31" s="8" t="s">
        <v>24</v>
      </c>
      <c r="C31" s="1" t="str">
        <f>VLOOKUP(B31,'State Interconnection Mapping'!$A$3:$B$52,2,0)</f>
        <v>Western</v>
      </c>
      <c r="D31" s="79">
        <v>13863.383</v>
      </c>
    </row>
    <row r="32" spans="2:4" x14ac:dyDescent="0.25">
      <c r="B32" s="8" t="s">
        <v>25</v>
      </c>
      <c r="C32" s="1" t="str">
        <f>VLOOKUP(B32,'State Interconnection Mapping'!$A$3:$B$52,2,0)</f>
        <v>Eastern</v>
      </c>
      <c r="D32" s="79">
        <v>30827.938999999998</v>
      </c>
    </row>
    <row r="33" spans="2:4" x14ac:dyDescent="0.25">
      <c r="B33" s="8" t="s">
        <v>26</v>
      </c>
      <c r="C33" s="1" t="str">
        <f>VLOOKUP(B33,'State Interconnection Mapping'!$A$3:$B$52,2,0)</f>
        <v>Western</v>
      </c>
      <c r="D33" s="79">
        <v>35179.917999999998</v>
      </c>
    </row>
    <row r="34" spans="2:4" x14ac:dyDescent="0.25">
      <c r="B34" s="8" t="s">
        <v>27</v>
      </c>
      <c r="C34" s="1" t="str">
        <f>VLOOKUP(B34,'State Interconnection Mapping'!$A$3:$B$52,2,0)</f>
        <v>Eastern</v>
      </c>
      <c r="D34" s="79">
        <v>10870.261</v>
      </c>
    </row>
    <row r="35" spans="2:4" x14ac:dyDescent="0.25">
      <c r="B35" s="8" t="s">
        <v>28</v>
      </c>
      <c r="C35" s="1" t="str">
        <f>VLOOKUP(B35,'State Interconnection Mapping'!$A$3:$B$52,2,0)</f>
        <v>Eastern</v>
      </c>
      <c r="D35" s="79">
        <v>75186.399000000005</v>
      </c>
    </row>
    <row r="36" spans="2:4" x14ac:dyDescent="0.25">
      <c r="B36" s="8" t="s">
        <v>29</v>
      </c>
      <c r="C36" s="1" t="str">
        <f>VLOOKUP(B36,'State Interconnection Mapping'!$A$3:$B$52,2,0)</f>
        <v>Western</v>
      </c>
      <c r="D36" s="79">
        <v>23178.567999999999</v>
      </c>
    </row>
    <row r="37" spans="2:4" x14ac:dyDescent="0.25">
      <c r="B37" s="8" t="s">
        <v>30</v>
      </c>
      <c r="C37" s="1" t="str">
        <f>VLOOKUP(B37,'State Interconnection Mapping'!$A$3:$B$52,2,0)</f>
        <v>Eastern</v>
      </c>
      <c r="D37" s="79">
        <v>143162.66800000001</v>
      </c>
    </row>
    <row r="38" spans="2:4" x14ac:dyDescent="0.25">
      <c r="B38" s="8" t="s">
        <v>31</v>
      </c>
      <c r="C38" s="1" t="str">
        <f>VLOOKUP(B38,'State Interconnection Mapping'!$A$3:$B$52,2,0)</f>
        <v>Eastern</v>
      </c>
      <c r="D38" s="79">
        <v>128084.893</v>
      </c>
    </row>
    <row r="39" spans="2:4" x14ac:dyDescent="0.25">
      <c r="B39" s="8" t="s">
        <v>32</v>
      </c>
      <c r="C39" s="1" t="str">
        <f>VLOOKUP(B39,'State Interconnection Mapping'!$A$3:$B$52,2,0)</f>
        <v>Eastern</v>
      </c>
      <c r="D39" s="79">
        <v>14716.956</v>
      </c>
    </row>
    <row r="40" spans="2:4" x14ac:dyDescent="0.25">
      <c r="B40" s="8" t="s">
        <v>33</v>
      </c>
      <c r="C40" s="1" t="str">
        <f>VLOOKUP(B40,'State Interconnection Mapping'!$A$3:$B$52,2,0)</f>
        <v>Eastern</v>
      </c>
      <c r="D40" s="79">
        <v>152456.864</v>
      </c>
    </row>
    <row r="41" spans="2:4" x14ac:dyDescent="0.25">
      <c r="B41" s="8" t="s">
        <v>34</v>
      </c>
      <c r="C41" s="1" t="str">
        <f>VLOOKUP(B41,'State Interconnection Mapping'!$A$3:$B$52,2,0)</f>
        <v>Eastern</v>
      </c>
      <c r="D41" s="79">
        <v>59340.624000000003</v>
      </c>
    </row>
    <row r="42" spans="2:4" x14ac:dyDescent="0.25">
      <c r="B42" s="8" t="s">
        <v>35</v>
      </c>
      <c r="C42" s="1" t="str">
        <f>VLOOKUP(B42,'State Interconnection Mapping'!$A$3:$B$52,2,0)</f>
        <v>Western</v>
      </c>
      <c r="D42" s="79">
        <v>46688.856</v>
      </c>
    </row>
    <row r="43" spans="2:4" x14ac:dyDescent="0.25">
      <c r="B43" s="8" t="s">
        <v>36</v>
      </c>
      <c r="C43" s="1" t="str">
        <f>VLOOKUP(B43,'State Interconnection Mapping'!$A$3:$B$52,2,0)</f>
        <v>Eastern</v>
      </c>
      <c r="D43" s="79">
        <v>144709.72700000001</v>
      </c>
    </row>
    <row r="44" spans="2:4" x14ac:dyDescent="0.25">
      <c r="B44" s="8" t="s">
        <v>37</v>
      </c>
      <c r="C44" s="1" t="str">
        <f>VLOOKUP(B44,'State Interconnection Mapping'!$A$3:$B$52,2,0)</f>
        <v>Eastern</v>
      </c>
      <c r="D44" s="79">
        <v>7708.3339999999998</v>
      </c>
    </row>
    <row r="45" spans="2:4" x14ac:dyDescent="0.25">
      <c r="B45" s="8" t="s">
        <v>38</v>
      </c>
      <c r="C45" s="1" t="str">
        <f>VLOOKUP(B45,'State Interconnection Mapping'!$A$3:$B$52,2,0)</f>
        <v>Eastern</v>
      </c>
      <c r="D45" s="79">
        <v>77780.952999999994</v>
      </c>
    </row>
    <row r="46" spans="2:4" x14ac:dyDescent="0.25">
      <c r="B46" s="8" t="s">
        <v>39</v>
      </c>
      <c r="C46" s="1" t="str">
        <f>VLOOKUP(B46,'State Interconnection Mapping'!$A$3:$B$52,2,0)</f>
        <v>Eastern</v>
      </c>
      <c r="D46" s="79">
        <v>11734.21</v>
      </c>
    </row>
    <row r="47" spans="2:4" x14ac:dyDescent="0.25">
      <c r="B47" s="8" t="s">
        <v>40</v>
      </c>
      <c r="C47" s="1" t="str">
        <f>VLOOKUP(B47,'State Interconnection Mapping'!$A$3:$B$52,2,0)</f>
        <v>Eastern</v>
      </c>
      <c r="D47" s="79">
        <v>96381.471999999994</v>
      </c>
    </row>
    <row r="48" spans="2:4" x14ac:dyDescent="0.25">
      <c r="B48" s="8" t="s">
        <v>41</v>
      </c>
      <c r="C48" s="1" t="str">
        <f>VLOOKUP(B48,'State Interconnection Mapping'!$A$3:$B$52,2,0)</f>
        <v>Texas</v>
      </c>
      <c r="D48" s="79">
        <v>365467.266</v>
      </c>
    </row>
    <row r="49" spans="2:4" x14ac:dyDescent="0.25">
      <c r="B49" s="8" t="s">
        <v>42</v>
      </c>
      <c r="C49" s="1" t="str">
        <f>VLOOKUP(B49,'State Interconnection Mapping'!$A$3:$B$52,2,0)</f>
        <v>Western</v>
      </c>
      <c r="D49" s="79">
        <v>29723.367999999999</v>
      </c>
    </row>
    <row r="50" spans="2:4" x14ac:dyDescent="0.25">
      <c r="B50" s="8" t="s">
        <v>43</v>
      </c>
      <c r="C50" s="1" t="str">
        <f>VLOOKUP(B50,'State Interconnection Mapping'!$A$3:$B$52,2,0)</f>
        <v>Eastern</v>
      </c>
      <c r="D50" s="79">
        <v>107794.985</v>
      </c>
    </row>
    <row r="51" spans="2:4" x14ac:dyDescent="0.25">
      <c r="B51" s="8" t="s">
        <v>44</v>
      </c>
      <c r="C51" s="1" t="str">
        <f>VLOOKUP(B51,'State Interconnection Mapping'!$A$3:$B$52,2,0)</f>
        <v>Western</v>
      </c>
      <c r="D51" s="79">
        <v>92373.978000000003</v>
      </c>
    </row>
    <row r="52" spans="2:4" x14ac:dyDescent="0.25">
      <c r="B52" s="8" t="s">
        <v>45</v>
      </c>
      <c r="C52" s="1" t="str">
        <f>VLOOKUP(B52,'State Interconnection Mapping'!$A$3:$B$52,2,0)</f>
        <v>Eastern</v>
      </c>
      <c r="D52" s="79">
        <v>30817.241000000002</v>
      </c>
    </row>
    <row r="53" spans="2:4" x14ac:dyDescent="0.25">
      <c r="B53" s="8" t="s">
        <v>46</v>
      </c>
      <c r="C53" s="1" t="str">
        <f>VLOOKUP(B53,'State Interconnection Mapping'!$A$3:$B$52,2,0)</f>
        <v>Eastern</v>
      </c>
      <c r="D53" s="79">
        <v>68820.09</v>
      </c>
    </row>
    <row r="54" spans="2:4" x14ac:dyDescent="0.25">
      <c r="B54" s="8" t="s">
        <v>47</v>
      </c>
      <c r="C54" s="1" t="str">
        <f>VLOOKUP(B54,'State Interconnection Mapping'!$A$3:$B$52,2,0)</f>
        <v>Western</v>
      </c>
      <c r="D54" s="79">
        <v>16971.353999999999</v>
      </c>
    </row>
    <row r="55" spans="2:4" x14ac:dyDescent="0.25">
      <c r="B55" s="8" t="s">
        <v>65</v>
      </c>
      <c r="C55" s="1" t="str">
        <f>VLOOKUP(B55,'State Interconnection Mapping'!$A$3:$B$52,2,0)</f>
        <v>Western</v>
      </c>
      <c r="D55" s="79">
        <v>676.01400000000001</v>
      </c>
    </row>
    <row r="56" spans="2:4" x14ac:dyDescent="0.25">
      <c r="B56" s="8" t="s">
        <v>66</v>
      </c>
      <c r="C56" s="1" t="str">
        <f>VLOOKUP(B56,'State Interconnection Mapping'!$A$3:$B$52,2,0)</f>
        <v>Western</v>
      </c>
      <c r="D56" s="79">
        <v>470</v>
      </c>
    </row>
    <row r="57" spans="2:4" ht="15.75" thickBot="1" x14ac:dyDescent="0.3">
      <c r="B57" s="12" t="s">
        <v>67</v>
      </c>
      <c r="C57" s="13" t="str">
        <f>VLOOKUP(B57,'State Interconnection Mapping'!$A$3:$B$52,2,0)</f>
        <v>Western</v>
      </c>
      <c r="D57" s="80">
        <v>48</v>
      </c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2"/>
  <sheetViews>
    <sheetView workbookViewId="0">
      <selection activeCell="D5" sqref="D5"/>
    </sheetView>
  </sheetViews>
  <sheetFormatPr defaultRowHeight="15" x14ac:dyDescent="0.25"/>
  <cols>
    <col min="1" max="1" width="15.28515625" bestFit="1" customWidth="1"/>
    <col min="2" max="2" width="25.7109375" bestFit="1" customWidth="1"/>
  </cols>
  <sheetData>
    <row r="2" spans="1:2" x14ac:dyDescent="0.25">
      <c r="A2" s="54" t="s">
        <v>0</v>
      </c>
      <c r="B2" s="54" t="s">
        <v>152</v>
      </c>
    </row>
    <row r="3" spans="1:2" x14ac:dyDescent="0.25">
      <c r="A3" t="s">
        <v>1</v>
      </c>
      <c r="B3" t="s">
        <v>131</v>
      </c>
    </row>
    <row r="4" spans="1:2" x14ac:dyDescent="0.25">
      <c r="A4" t="s">
        <v>3</v>
      </c>
      <c r="B4" t="s">
        <v>131</v>
      </c>
    </row>
    <row r="5" spans="1:2" x14ac:dyDescent="0.25">
      <c r="A5" t="s">
        <v>2</v>
      </c>
      <c r="B5" t="s">
        <v>132</v>
      </c>
    </row>
    <row r="6" spans="1:2" x14ac:dyDescent="0.25">
      <c r="A6" t="s">
        <v>4</v>
      </c>
      <c r="B6" t="s">
        <v>132</v>
      </c>
    </row>
    <row r="7" spans="1:2" x14ac:dyDescent="0.25">
      <c r="A7" t="s">
        <v>5</v>
      </c>
      <c r="B7" t="s">
        <v>132</v>
      </c>
    </row>
    <row r="8" spans="1:2" x14ac:dyDescent="0.25">
      <c r="A8" t="s">
        <v>6</v>
      </c>
      <c r="B8" t="s">
        <v>131</v>
      </c>
    </row>
    <row r="9" spans="1:2" x14ac:dyDescent="0.25">
      <c r="A9" t="s">
        <v>7</v>
      </c>
      <c r="B9" t="s">
        <v>131</v>
      </c>
    </row>
    <row r="10" spans="1:2" x14ac:dyDescent="0.25">
      <c r="A10" t="s">
        <v>8</v>
      </c>
      <c r="B10" t="s">
        <v>131</v>
      </c>
    </row>
    <row r="11" spans="1:2" x14ac:dyDescent="0.25">
      <c r="A11" t="s">
        <v>67</v>
      </c>
      <c r="B11" t="s">
        <v>132</v>
      </c>
    </row>
    <row r="12" spans="1:2" x14ac:dyDescent="0.25">
      <c r="A12" t="s">
        <v>9</v>
      </c>
      <c r="B12" t="s">
        <v>131</v>
      </c>
    </row>
    <row r="13" spans="1:2" x14ac:dyDescent="0.25">
      <c r="A13" t="s">
        <v>13</v>
      </c>
      <c r="B13" t="s">
        <v>131</v>
      </c>
    </row>
    <row r="14" spans="1:2" x14ac:dyDescent="0.25">
      <c r="A14" t="s">
        <v>10</v>
      </c>
      <c r="B14" t="s">
        <v>132</v>
      </c>
    </row>
    <row r="15" spans="1:2" x14ac:dyDescent="0.25">
      <c r="A15" t="s">
        <v>11</v>
      </c>
      <c r="B15" t="s">
        <v>131</v>
      </c>
    </row>
    <row r="16" spans="1:2" x14ac:dyDescent="0.25">
      <c r="A16" t="s">
        <v>12</v>
      </c>
      <c r="B16" t="s">
        <v>131</v>
      </c>
    </row>
    <row r="17" spans="1:2" x14ac:dyDescent="0.25">
      <c r="A17" t="s">
        <v>14</v>
      </c>
      <c r="B17" t="s">
        <v>131</v>
      </c>
    </row>
    <row r="18" spans="1:2" x14ac:dyDescent="0.25">
      <c r="A18" t="s">
        <v>15</v>
      </c>
      <c r="B18" t="s">
        <v>131</v>
      </c>
    </row>
    <row r="19" spans="1:2" x14ac:dyDescent="0.25">
      <c r="A19" t="s">
        <v>16</v>
      </c>
      <c r="B19" t="s">
        <v>131</v>
      </c>
    </row>
    <row r="20" spans="1:2" x14ac:dyDescent="0.25">
      <c r="A20" t="s">
        <v>19</v>
      </c>
      <c r="B20" t="s">
        <v>131</v>
      </c>
    </row>
    <row r="21" spans="1:2" x14ac:dyDescent="0.25">
      <c r="A21" t="s">
        <v>18</v>
      </c>
      <c r="B21" t="s">
        <v>131</v>
      </c>
    </row>
    <row r="22" spans="1:2" x14ac:dyDescent="0.25">
      <c r="A22" t="s">
        <v>17</v>
      </c>
      <c r="B22" t="s">
        <v>131</v>
      </c>
    </row>
    <row r="23" spans="1:2" x14ac:dyDescent="0.25">
      <c r="A23" t="s">
        <v>20</v>
      </c>
      <c r="B23" t="s">
        <v>131</v>
      </c>
    </row>
    <row r="24" spans="1:2" x14ac:dyDescent="0.25">
      <c r="A24" t="s">
        <v>21</v>
      </c>
      <c r="B24" t="s">
        <v>131</v>
      </c>
    </row>
    <row r="25" spans="1:2" x14ac:dyDescent="0.25">
      <c r="A25" t="s">
        <v>23</v>
      </c>
      <c r="B25" t="s">
        <v>131</v>
      </c>
    </row>
    <row r="26" spans="1:2" x14ac:dyDescent="0.25">
      <c r="A26" t="s">
        <v>22</v>
      </c>
      <c r="B26" t="s">
        <v>131</v>
      </c>
    </row>
    <row r="27" spans="1:2" x14ac:dyDescent="0.25">
      <c r="A27" t="s">
        <v>24</v>
      </c>
      <c r="B27" t="s">
        <v>132</v>
      </c>
    </row>
    <row r="28" spans="1:2" x14ac:dyDescent="0.25">
      <c r="A28" t="s">
        <v>65</v>
      </c>
      <c r="B28" t="s">
        <v>132</v>
      </c>
    </row>
    <row r="29" spans="1:2" x14ac:dyDescent="0.25">
      <c r="A29" t="s">
        <v>31</v>
      </c>
      <c r="B29" t="s">
        <v>131</v>
      </c>
    </row>
    <row r="30" spans="1:2" x14ac:dyDescent="0.25">
      <c r="A30" t="s">
        <v>32</v>
      </c>
      <c r="B30" t="s">
        <v>131</v>
      </c>
    </row>
    <row r="31" spans="1:2" x14ac:dyDescent="0.25">
      <c r="A31" t="s">
        <v>25</v>
      </c>
      <c r="B31" t="s">
        <v>131</v>
      </c>
    </row>
    <row r="32" spans="1:2" x14ac:dyDescent="0.25">
      <c r="A32" t="s">
        <v>27</v>
      </c>
      <c r="B32" t="s">
        <v>131</v>
      </c>
    </row>
    <row r="33" spans="1:2" x14ac:dyDescent="0.25">
      <c r="A33" t="s">
        <v>28</v>
      </c>
      <c r="B33" t="s">
        <v>131</v>
      </c>
    </row>
    <row r="34" spans="1:2" x14ac:dyDescent="0.25">
      <c r="A34" t="s">
        <v>29</v>
      </c>
      <c r="B34" t="s">
        <v>132</v>
      </c>
    </row>
    <row r="35" spans="1:2" x14ac:dyDescent="0.25">
      <c r="A35" t="s">
        <v>26</v>
      </c>
      <c r="B35" t="s">
        <v>132</v>
      </c>
    </row>
    <row r="36" spans="1:2" x14ac:dyDescent="0.25">
      <c r="A36" t="s">
        <v>30</v>
      </c>
      <c r="B36" t="s">
        <v>131</v>
      </c>
    </row>
    <row r="37" spans="1:2" x14ac:dyDescent="0.25">
      <c r="A37" t="s">
        <v>33</v>
      </c>
      <c r="B37" t="s">
        <v>131</v>
      </c>
    </row>
    <row r="38" spans="1:2" x14ac:dyDescent="0.25">
      <c r="A38" t="s">
        <v>34</v>
      </c>
      <c r="B38" t="s">
        <v>131</v>
      </c>
    </row>
    <row r="39" spans="1:2" x14ac:dyDescent="0.25">
      <c r="A39" t="s">
        <v>35</v>
      </c>
      <c r="B39" t="s">
        <v>132</v>
      </c>
    </row>
    <row r="40" spans="1:2" x14ac:dyDescent="0.25">
      <c r="A40" t="s">
        <v>36</v>
      </c>
      <c r="B40" t="s">
        <v>131</v>
      </c>
    </row>
    <row r="41" spans="1:2" x14ac:dyDescent="0.25">
      <c r="A41" t="s">
        <v>37</v>
      </c>
      <c r="B41" t="s">
        <v>131</v>
      </c>
    </row>
    <row r="42" spans="1:2" x14ac:dyDescent="0.25">
      <c r="A42" t="s">
        <v>38</v>
      </c>
      <c r="B42" t="s">
        <v>131</v>
      </c>
    </row>
    <row r="43" spans="1:2" x14ac:dyDescent="0.25">
      <c r="A43" t="s">
        <v>39</v>
      </c>
      <c r="B43" t="s">
        <v>131</v>
      </c>
    </row>
    <row r="44" spans="1:2" x14ac:dyDescent="0.25">
      <c r="A44" t="s">
        <v>40</v>
      </c>
      <c r="B44" t="s">
        <v>131</v>
      </c>
    </row>
    <row r="45" spans="1:2" x14ac:dyDescent="0.25">
      <c r="A45" t="s">
        <v>41</v>
      </c>
      <c r="B45" t="s">
        <v>41</v>
      </c>
    </row>
    <row r="46" spans="1:2" x14ac:dyDescent="0.25">
      <c r="A46" t="s">
        <v>66</v>
      </c>
      <c r="B46" t="s">
        <v>132</v>
      </c>
    </row>
    <row r="47" spans="1:2" x14ac:dyDescent="0.25">
      <c r="A47" t="s">
        <v>42</v>
      </c>
      <c r="B47" t="s">
        <v>132</v>
      </c>
    </row>
    <row r="48" spans="1:2" x14ac:dyDescent="0.25">
      <c r="A48" t="s">
        <v>43</v>
      </c>
      <c r="B48" t="s">
        <v>131</v>
      </c>
    </row>
    <row r="49" spans="1:2" x14ac:dyDescent="0.25">
      <c r="A49" t="s">
        <v>44</v>
      </c>
      <c r="B49" t="s">
        <v>132</v>
      </c>
    </row>
    <row r="50" spans="1:2" x14ac:dyDescent="0.25">
      <c r="A50" t="s">
        <v>46</v>
      </c>
      <c r="B50" t="s">
        <v>131</v>
      </c>
    </row>
    <row r="51" spans="1:2" x14ac:dyDescent="0.25">
      <c r="A51" t="s">
        <v>45</v>
      </c>
      <c r="B51" t="s">
        <v>131</v>
      </c>
    </row>
    <row r="52" spans="1:2" x14ac:dyDescent="0.25">
      <c r="A52" t="s">
        <v>47</v>
      </c>
      <c r="B52" t="s">
        <v>132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P80"/>
  <sheetViews>
    <sheetView workbookViewId="0">
      <selection activeCell="G45" sqref="G45"/>
    </sheetView>
  </sheetViews>
  <sheetFormatPr defaultRowHeight="15" x14ac:dyDescent="0.25"/>
  <cols>
    <col min="1" max="1" width="9.140625" style="1"/>
    <col min="2" max="2" width="29.85546875" style="1" bestFit="1" customWidth="1"/>
    <col min="3" max="12" width="9.5703125" style="1" bestFit="1" customWidth="1"/>
    <col min="13" max="22" width="9.140625" style="1"/>
    <col min="23" max="23" width="43.85546875" style="1" bestFit="1" customWidth="1"/>
    <col min="24" max="16384" width="9.140625" style="1"/>
  </cols>
  <sheetData>
    <row r="2" spans="2:42" ht="18.75" x14ac:dyDescent="0.3">
      <c r="B2" s="120"/>
    </row>
    <row r="3" spans="2:42" ht="18.75" x14ac:dyDescent="0.3">
      <c r="B3" s="120" t="s">
        <v>165</v>
      </c>
    </row>
    <row r="4" spans="2:42" x14ac:dyDescent="0.25">
      <c r="B4" s="114" t="s">
        <v>164</v>
      </c>
      <c r="C4" s="115">
        <v>2012</v>
      </c>
      <c r="D4" s="115">
        <v>2013</v>
      </c>
      <c r="E4" s="115">
        <v>2014</v>
      </c>
      <c r="F4" s="115">
        <v>2015</v>
      </c>
      <c r="G4" s="115">
        <v>2016</v>
      </c>
      <c r="H4" s="115">
        <v>2017</v>
      </c>
      <c r="I4" s="115">
        <v>2018</v>
      </c>
      <c r="J4" s="115">
        <v>2019</v>
      </c>
      <c r="K4" s="115">
        <v>2020</v>
      </c>
      <c r="L4" s="115">
        <v>2021</v>
      </c>
      <c r="M4" s="115">
        <v>2022</v>
      </c>
      <c r="N4" s="115">
        <v>2023</v>
      </c>
      <c r="O4" s="115">
        <v>2024</v>
      </c>
      <c r="P4" s="115">
        <v>2025</v>
      </c>
      <c r="Q4" s="115">
        <v>2026</v>
      </c>
      <c r="R4" s="115">
        <v>2027</v>
      </c>
      <c r="S4" s="115">
        <v>2028</v>
      </c>
      <c r="T4" s="115">
        <v>2029</v>
      </c>
      <c r="U4" s="115">
        <v>2030</v>
      </c>
      <c r="W4" s="114" t="s">
        <v>161</v>
      </c>
      <c r="X4" s="115">
        <v>2013</v>
      </c>
      <c r="Y4" s="115">
        <v>2014</v>
      </c>
      <c r="Z4" s="115">
        <v>2015</v>
      </c>
      <c r="AA4" s="115">
        <v>2016</v>
      </c>
      <c r="AB4" s="115">
        <v>2017</v>
      </c>
      <c r="AC4" s="115">
        <v>2018</v>
      </c>
      <c r="AD4" s="115">
        <v>2019</v>
      </c>
      <c r="AE4" s="115">
        <v>2020</v>
      </c>
      <c r="AF4" s="115">
        <v>2021</v>
      </c>
      <c r="AG4" s="115">
        <v>2022</v>
      </c>
      <c r="AH4" s="115">
        <v>2023</v>
      </c>
      <c r="AI4" s="115">
        <v>2024</v>
      </c>
      <c r="AJ4" s="115">
        <v>2025</v>
      </c>
      <c r="AK4" s="115">
        <v>2026</v>
      </c>
      <c r="AL4" s="115">
        <v>2027</v>
      </c>
      <c r="AM4" s="115">
        <v>2028</v>
      </c>
      <c r="AN4" s="115">
        <v>2029</v>
      </c>
      <c r="AO4" s="115">
        <v>2030</v>
      </c>
    </row>
    <row r="5" spans="2:42" x14ac:dyDescent="0.25">
      <c r="B5" s="1" t="s">
        <v>41</v>
      </c>
      <c r="C5" s="116">
        <v>332.97683699999999</v>
      </c>
      <c r="D5" s="116">
        <v>338.02242999999999</v>
      </c>
      <c r="E5" s="116">
        <v>333.66601600000001</v>
      </c>
      <c r="F5" s="116">
        <v>334.89321899999999</v>
      </c>
      <c r="G5" s="116">
        <v>341.33200099999999</v>
      </c>
      <c r="H5" s="116">
        <v>340.61673000000002</v>
      </c>
      <c r="I5" s="116">
        <v>346.579071</v>
      </c>
      <c r="J5" s="116">
        <v>352.25778200000002</v>
      </c>
      <c r="K5" s="116">
        <v>355.07733200000001</v>
      </c>
      <c r="L5" s="116">
        <v>357.80035400000003</v>
      </c>
      <c r="M5" s="116">
        <v>361.45562699999999</v>
      </c>
      <c r="N5" s="116">
        <v>364.77771000000001</v>
      </c>
      <c r="O5" s="116">
        <v>368.851471</v>
      </c>
      <c r="P5" s="116">
        <v>372.48184199999997</v>
      </c>
      <c r="Q5" s="116">
        <v>376.39141799999999</v>
      </c>
      <c r="R5" s="116">
        <v>379.62265000000002</v>
      </c>
      <c r="S5" s="116">
        <v>383.25060999999999</v>
      </c>
      <c r="T5" s="116">
        <v>387.26864599999999</v>
      </c>
      <c r="U5" s="116">
        <v>390.81063799999998</v>
      </c>
      <c r="W5" s="1" t="s">
        <v>41</v>
      </c>
      <c r="X5" s="117">
        <f t="shared" ref="X5:X27" si="0">D5/$C5-1</f>
        <v>1.5152984950721926E-2</v>
      </c>
      <c r="Y5" s="117">
        <f t="shared" ref="Y5:Y27" si="1">E5/$C5-1</f>
        <v>2.069750575473206E-3</v>
      </c>
      <c r="Z5" s="117">
        <f t="shared" ref="Z5:Z27" si="2">F5/$C5-1</f>
        <v>5.7553012313587004E-3</v>
      </c>
      <c r="AA5" s="117">
        <f t="shared" ref="AA5:AA27" si="3">G5/$C5-1</f>
        <v>2.5092327968746941E-2</v>
      </c>
      <c r="AB5" s="117">
        <f t="shared" ref="AB5:AB27" si="4">H5/$C5-1</f>
        <v>2.2944217588324323E-2</v>
      </c>
      <c r="AC5" s="117">
        <f t="shared" ref="AC5:AC27" si="5">I5/$C5-1</f>
        <v>4.0850391043867118E-2</v>
      </c>
      <c r="AD5" s="117">
        <f t="shared" ref="AD5:AD27" si="6">J5/$C5-1</f>
        <v>5.7904763507619084E-2</v>
      </c>
      <c r="AE5" s="117">
        <f t="shared" ref="AE5:AE27" si="7">K5/$C5-1</f>
        <v>6.6372469626168051E-2</v>
      </c>
      <c r="AF5" s="117">
        <f t="shared" ref="AF5:AF27" si="8">L5/$C5-1</f>
        <v>7.4550281706231791E-2</v>
      </c>
      <c r="AG5" s="117">
        <f t="shared" ref="AG5:AG27" si="9">M5/$C5-1</f>
        <v>8.5527841085234479E-2</v>
      </c>
      <c r="AH5" s="117">
        <f t="shared" ref="AH5:AH27" si="10">N5/$C5-1</f>
        <v>9.5504760290578528E-2</v>
      </c>
      <c r="AI5" s="117">
        <f t="shared" ref="AI5:AI27" si="11">O5/$C5-1</f>
        <v>0.10773912781206474</v>
      </c>
      <c r="AJ5" s="117">
        <f t="shared" ref="AJ5:AJ27" si="12">P5/$C5-1</f>
        <v>0.11864190120828133</v>
      </c>
      <c r="AK5" s="117">
        <f t="shared" ref="AK5:AK27" si="13">Q5/$C5-1</f>
        <v>0.13038318638362223</v>
      </c>
      <c r="AL5" s="117">
        <f t="shared" ref="AL5:AL27" si="14">R5/$C5-1</f>
        <v>0.14008726078444922</v>
      </c>
      <c r="AM5" s="117">
        <f t="shared" ref="AM5:AM27" si="15">S5/$C5-1</f>
        <v>0.15098279343677001</v>
      </c>
      <c r="AN5" s="117">
        <f t="shared" ref="AN5:AN27" si="16">T5/$C5-1</f>
        <v>0.16304980697501192</v>
      </c>
      <c r="AO5" s="117">
        <f t="shared" ref="AO5:AO27" si="17">U5/$C5-1</f>
        <v>0.17368715950653346</v>
      </c>
      <c r="AP5" s="118"/>
    </row>
    <row r="6" spans="2:42" x14ac:dyDescent="0.25">
      <c r="B6" s="1" t="s">
        <v>8</v>
      </c>
      <c r="C6" s="116">
        <v>237.576492</v>
      </c>
      <c r="D6" s="116">
        <v>233.14897199999999</v>
      </c>
      <c r="E6" s="116">
        <v>234.721542</v>
      </c>
      <c r="F6" s="116">
        <v>232.74731399999999</v>
      </c>
      <c r="G6" s="116">
        <v>233.789886</v>
      </c>
      <c r="H6" s="116">
        <v>235.61196899999999</v>
      </c>
      <c r="I6" s="116">
        <v>237.864777</v>
      </c>
      <c r="J6" s="116">
        <v>240.1474</v>
      </c>
      <c r="K6" s="116">
        <v>240.49642900000001</v>
      </c>
      <c r="L6" s="116">
        <v>241.237122</v>
      </c>
      <c r="M6" s="116">
        <v>242.60720800000001</v>
      </c>
      <c r="N6" s="116">
        <v>244.50708</v>
      </c>
      <c r="O6" s="116">
        <v>246.70742799999999</v>
      </c>
      <c r="P6" s="116">
        <v>248.83560199999999</v>
      </c>
      <c r="Q6" s="116">
        <v>251.03909300000001</v>
      </c>
      <c r="R6" s="116">
        <v>253.33157299999999</v>
      </c>
      <c r="S6" s="116">
        <v>255.760864</v>
      </c>
      <c r="T6" s="116">
        <v>258.25701900000001</v>
      </c>
      <c r="U6" s="116">
        <v>260.29434199999997</v>
      </c>
      <c r="W6" s="1" t="s">
        <v>8</v>
      </c>
      <c r="X6" s="117">
        <f t="shared" si="0"/>
        <v>-1.8636187287419004E-2</v>
      </c>
      <c r="Y6" s="117">
        <f t="shared" si="1"/>
        <v>-1.2016971780187791E-2</v>
      </c>
      <c r="Z6" s="117">
        <f t="shared" si="2"/>
        <v>-2.0326834356995227E-2</v>
      </c>
      <c r="AA6" s="117">
        <f t="shared" si="3"/>
        <v>-1.5938470882043365E-2</v>
      </c>
      <c r="AB6" s="117">
        <f t="shared" si="4"/>
        <v>-8.269012575537249E-3</v>
      </c>
      <c r="AC6" s="117">
        <f t="shared" si="5"/>
        <v>1.2134407641644085E-3</v>
      </c>
      <c r="AD6" s="117">
        <f t="shared" si="6"/>
        <v>1.0821390527140151E-2</v>
      </c>
      <c r="AE6" s="117">
        <f t="shared" si="7"/>
        <v>1.2290513153969895E-2</v>
      </c>
      <c r="AF6" s="117">
        <f t="shared" si="8"/>
        <v>1.5408216398784091E-2</v>
      </c>
      <c r="AG6" s="117">
        <f t="shared" si="9"/>
        <v>2.117514219378247E-2</v>
      </c>
      <c r="AH6" s="117">
        <f t="shared" si="10"/>
        <v>2.9172027676879653E-2</v>
      </c>
      <c r="AI6" s="117">
        <f t="shared" si="11"/>
        <v>3.8433667923676529E-2</v>
      </c>
      <c r="AJ6" s="117">
        <f t="shared" si="12"/>
        <v>4.7391515487146707E-2</v>
      </c>
      <c r="AK6" s="117">
        <f t="shared" si="13"/>
        <v>5.6666385157332799E-2</v>
      </c>
      <c r="AL6" s="117">
        <f t="shared" si="14"/>
        <v>6.6315824715519334E-2</v>
      </c>
      <c r="AM6" s="117">
        <f t="shared" si="15"/>
        <v>7.654112512108302E-2</v>
      </c>
      <c r="AN6" s="117">
        <f t="shared" si="16"/>
        <v>8.7047867513760702E-2</v>
      </c>
      <c r="AO6" s="117">
        <f t="shared" si="17"/>
        <v>9.5623307713458283E-2</v>
      </c>
      <c r="AP6" s="118"/>
    </row>
    <row r="7" spans="2:42" x14ac:dyDescent="0.25">
      <c r="B7" s="1" t="s">
        <v>68</v>
      </c>
      <c r="C7" s="116">
        <v>23.136102999999999</v>
      </c>
      <c r="D7" s="116">
        <v>26.868938</v>
      </c>
      <c r="E7" s="116">
        <v>22.245871000000001</v>
      </c>
      <c r="F7" s="116">
        <v>22.367999999999999</v>
      </c>
      <c r="G7" s="116">
        <v>22.522770000000001</v>
      </c>
      <c r="H7" s="116">
        <v>22.822182000000002</v>
      </c>
      <c r="I7" s="116">
        <v>23.074068</v>
      </c>
      <c r="J7" s="116">
        <v>23.231064</v>
      </c>
      <c r="K7" s="116">
        <v>23.264793000000001</v>
      </c>
      <c r="L7" s="116">
        <v>23.305897000000002</v>
      </c>
      <c r="M7" s="116">
        <v>23.435966000000001</v>
      </c>
      <c r="N7" s="116">
        <v>23.552562999999999</v>
      </c>
      <c r="O7" s="116">
        <v>23.709211</v>
      </c>
      <c r="P7" s="116">
        <v>23.834071999999999</v>
      </c>
      <c r="Q7" s="116">
        <v>23.931011000000002</v>
      </c>
      <c r="R7" s="116">
        <v>24.021591000000001</v>
      </c>
      <c r="S7" s="116">
        <v>24.083309</v>
      </c>
      <c r="T7" s="116">
        <v>24.143578999999999</v>
      </c>
      <c r="U7" s="116">
        <v>24.185835000000001</v>
      </c>
      <c r="W7" s="1" t="s">
        <v>68</v>
      </c>
      <c r="X7" s="117">
        <f t="shared" si="0"/>
        <v>0.16134242659621645</v>
      </c>
      <c r="Y7" s="117">
        <f t="shared" si="1"/>
        <v>-3.847804446582892E-2</v>
      </c>
      <c r="Z7" s="117">
        <f t="shared" si="2"/>
        <v>-3.3199324881982073E-2</v>
      </c>
      <c r="AA7" s="117">
        <f t="shared" si="3"/>
        <v>-2.6509779974613568E-2</v>
      </c>
      <c r="AB7" s="117">
        <f t="shared" si="4"/>
        <v>-1.3568447547108398E-2</v>
      </c>
      <c r="AC7" s="117">
        <f t="shared" si="5"/>
        <v>-2.681307219283946E-3</v>
      </c>
      <c r="AD7" s="117">
        <f t="shared" si="6"/>
        <v>4.1044509526950712E-3</v>
      </c>
      <c r="AE7" s="117">
        <f t="shared" si="7"/>
        <v>5.5623023462509913E-3</v>
      </c>
      <c r="AF7" s="117">
        <f t="shared" si="8"/>
        <v>7.338919609754635E-3</v>
      </c>
      <c r="AG7" s="117">
        <f t="shared" si="9"/>
        <v>1.2960825770874207E-2</v>
      </c>
      <c r="AH7" s="117">
        <f t="shared" si="10"/>
        <v>1.8000438535392016E-2</v>
      </c>
      <c r="AI7" s="117">
        <f t="shared" si="11"/>
        <v>2.4771155280558732E-2</v>
      </c>
      <c r="AJ7" s="117">
        <f t="shared" si="12"/>
        <v>3.0167958709381715E-2</v>
      </c>
      <c r="AK7" s="117">
        <f t="shared" si="13"/>
        <v>3.4357903748958973E-2</v>
      </c>
      <c r="AL7" s="117">
        <f t="shared" si="14"/>
        <v>3.8272996969282325E-2</v>
      </c>
      <c r="AM7" s="117">
        <f t="shared" si="15"/>
        <v>4.0940602658969816E-2</v>
      </c>
      <c r="AN7" s="117">
        <f t="shared" si="16"/>
        <v>4.3545622181920596E-2</v>
      </c>
      <c r="AO7" s="117">
        <f t="shared" si="17"/>
        <v>4.5372031754872477E-2</v>
      </c>
      <c r="AP7" s="118"/>
    </row>
    <row r="8" spans="2:42" x14ac:dyDescent="0.25">
      <c r="B8" s="1" t="s">
        <v>69</v>
      </c>
      <c r="C8" s="116">
        <v>201.359589</v>
      </c>
      <c r="D8" s="116">
        <v>199.91975400000001</v>
      </c>
      <c r="E8" s="116">
        <v>199.33532700000001</v>
      </c>
      <c r="F8" s="116">
        <v>200.576233</v>
      </c>
      <c r="G8" s="116">
        <v>201.84285</v>
      </c>
      <c r="H8" s="116">
        <v>204.837097</v>
      </c>
      <c r="I8" s="116">
        <v>207.32261700000001</v>
      </c>
      <c r="J8" s="116">
        <v>209.05561800000001</v>
      </c>
      <c r="K8" s="116">
        <v>209.964966</v>
      </c>
      <c r="L8" s="116">
        <v>210.95024100000001</v>
      </c>
      <c r="M8" s="116">
        <v>212.56956500000001</v>
      </c>
      <c r="N8" s="116">
        <v>214.08163500000001</v>
      </c>
      <c r="O8" s="116">
        <v>215.719086</v>
      </c>
      <c r="P8" s="116">
        <v>217.20649700000001</v>
      </c>
      <c r="Q8" s="116">
        <v>218.374619</v>
      </c>
      <c r="R8" s="116">
        <v>219.45031700000001</v>
      </c>
      <c r="S8" s="116">
        <v>220.22579999999999</v>
      </c>
      <c r="T8" s="116">
        <v>220.932129</v>
      </c>
      <c r="U8" s="116">
        <v>221.52415500000001</v>
      </c>
      <c r="W8" s="1" t="s">
        <v>69</v>
      </c>
      <c r="X8" s="117">
        <f t="shared" si="0"/>
        <v>-7.1505658466555211E-3</v>
      </c>
      <c r="Y8" s="117">
        <f t="shared" si="1"/>
        <v>-1.0052970459728083E-2</v>
      </c>
      <c r="Z8" s="117">
        <f t="shared" si="2"/>
        <v>-3.8903337253036741E-3</v>
      </c>
      <c r="AA8" s="117">
        <f t="shared" si="3"/>
        <v>2.3999899999795904E-3</v>
      </c>
      <c r="AB8" s="117">
        <f t="shared" si="4"/>
        <v>1.7270138548008296E-2</v>
      </c>
      <c r="AC8" s="117">
        <f t="shared" si="5"/>
        <v>2.9613826833943424E-2</v>
      </c>
      <c r="AD8" s="117">
        <f t="shared" si="6"/>
        <v>3.822032533052111E-2</v>
      </c>
      <c r="AE8" s="117">
        <f t="shared" si="7"/>
        <v>4.2736365537575649E-2</v>
      </c>
      <c r="AF8" s="117">
        <f t="shared" si="8"/>
        <v>4.762947743203827E-2</v>
      </c>
      <c r="AG8" s="117">
        <f t="shared" si="9"/>
        <v>5.567142868969599E-2</v>
      </c>
      <c r="AH8" s="117">
        <f t="shared" si="10"/>
        <v>6.3180730866509771E-2</v>
      </c>
      <c r="AI8" s="117">
        <f t="shared" si="11"/>
        <v>7.1312705152571709E-2</v>
      </c>
      <c r="AJ8" s="117">
        <f t="shared" si="12"/>
        <v>7.8699544822769862E-2</v>
      </c>
      <c r="AK8" s="117">
        <f t="shared" si="13"/>
        <v>8.4500718761399529E-2</v>
      </c>
      <c r="AL8" s="117">
        <f t="shared" si="14"/>
        <v>8.9842892955050768E-2</v>
      </c>
      <c r="AM8" s="117">
        <f t="shared" si="15"/>
        <v>9.3694127474604594E-2</v>
      </c>
      <c r="AN8" s="117">
        <f t="shared" si="16"/>
        <v>9.7201926648747827E-2</v>
      </c>
      <c r="AO8" s="117">
        <f t="shared" si="17"/>
        <v>0.10014206971787187</v>
      </c>
      <c r="AP8" s="118"/>
    </row>
    <row r="9" spans="2:42" x14ac:dyDescent="0.25">
      <c r="B9" s="1" t="s">
        <v>70</v>
      </c>
      <c r="C9" s="116">
        <v>130.05145300000001</v>
      </c>
      <c r="D9" s="116">
        <v>133.44212300000001</v>
      </c>
      <c r="E9" s="116">
        <v>134.527557</v>
      </c>
      <c r="F9" s="116">
        <v>135.17892499999999</v>
      </c>
      <c r="G9" s="116">
        <v>137.543488</v>
      </c>
      <c r="H9" s="116">
        <v>139.90342699999999</v>
      </c>
      <c r="I9" s="116">
        <v>140.80720500000001</v>
      </c>
      <c r="J9" s="116">
        <v>140.489746</v>
      </c>
      <c r="K9" s="116">
        <v>139.107361</v>
      </c>
      <c r="L9" s="116">
        <v>138.273865</v>
      </c>
      <c r="M9" s="116">
        <v>137.93109100000001</v>
      </c>
      <c r="N9" s="116">
        <v>137.68133499999999</v>
      </c>
      <c r="O9" s="116">
        <v>137.722824</v>
      </c>
      <c r="P9" s="116">
        <v>137.69039900000001</v>
      </c>
      <c r="Q9" s="116">
        <v>137.79611199999999</v>
      </c>
      <c r="R9" s="116">
        <v>137.987335</v>
      </c>
      <c r="S9" s="116">
        <v>138.106461</v>
      </c>
      <c r="T9" s="116">
        <v>138.35140999999999</v>
      </c>
      <c r="U9" s="116">
        <v>138.38552899999999</v>
      </c>
      <c r="W9" s="1" t="s">
        <v>70</v>
      </c>
      <c r="X9" s="117">
        <f t="shared" si="0"/>
        <v>2.6071757921843464E-2</v>
      </c>
      <c r="Y9" s="117">
        <f t="shared" si="1"/>
        <v>3.4417946872150607E-2</v>
      </c>
      <c r="Z9" s="117">
        <f t="shared" si="2"/>
        <v>3.9426487607177929E-2</v>
      </c>
      <c r="AA9" s="117">
        <f t="shared" si="3"/>
        <v>5.7608237564250819E-2</v>
      </c>
      <c r="AB9" s="117">
        <f t="shared" si="4"/>
        <v>7.5754432363012381E-2</v>
      </c>
      <c r="AC9" s="117">
        <f t="shared" si="5"/>
        <v>8.2703820310258358E-2</v>
      </c>
      <c r="AD9" s="117">
        <f t="shared" si="6"/>
        <v>8.0262794141946259E-2</v>
      </c>
      <c r="AE9" s="117">
        <f t="shared" si="7"/>
        <v>6.9633270456424645E-2</v>
      </c>
      <c r="AF9" s="117">
        <f t="shared" si="8"/>
        <v>6.3224299385566951E-2</v>
      </c>
      <c r="AG9" s="117">
        <f t="shared" si="9"/>
        <v>6.0588619490471896E-2</v>
      </c>
      <c r="AH9" s="117">
        <f t="shared" si="10"/>
        <v>5.8668179585813496E-2</v>
      </c>
      <c r="AI9" s="117">
        <f t="shared" si="11"/>
        <v>5.8987199474041851E-2</v>
      </c>
      <c r="AJ9" s="117">
        <f t="shared" si="12"/>
        <v>5.8737875077797153E-2</v>
      </c>
      <c r="AK9" s="117">
        <f t="shared" si="13"/>
        <v>5.95507302790379E-2</v>
      </c>
      <c r="AL9" s="117">
        <f t="shared" si="14"/>
        <v>6.1021094474046356E-2</v>
      </c>
      <c r="AM9" s="117">
        <f t="shared" si="15"/>
        <v>6.1937085777888035E-2</v>
      </c>
      <c r="AN9" s="117">
        <f t="shared" si="16"/>
        <v>6.3820563388861107E-2</v>
      </c>
      <c r="AO9" s="117">
        <f t="shared" si="17"/>
        <v>6.4082913398898933E-2</v>
      </c>
      <c r="AP9" s="118"/>
    </row>
    <row r="10" spans="2:42" x14ac:dyDescent="0.25">
      <c r="B10" s="1" t="s">
        <v>76</v>
      </c>
      <c r="C10" s="116">
        <f>C11+C12+C13</f>
        <v>154.32926600000002</v>
      </c>
      <c r="D10" s="116">
        <f t="shared" ref="D10:U10" si="18">D11+D12+D13</f>
        <v>160.95235399999999</v>
      </c>
      <c r="E10" s="116">
        <f t="shared" si="18"/>
        <v>153.49326100000002</v>
      </c>
      <c r="F10" s="116">
        <f t="shared" si="18"/>
        <v>156.00197199999999</v>
      </c>
      <c r="G10" s="116">
        <f t="shared" si="18"/>
        <v>156.90823699999999</v>
      </c>
      <c r="H10" s="116">
        <f t="shared" si="18"/>
        <v>156.71176500000001</v>
      </c>
      <c r="I10" s="116">
        <f t="shared" si="18"/>
        <v>156.74200400000001</v>
      </c>
      <c r="J10" s="116">
        <f t="shared" si="18"/>
        <v>156.49351899999999</v>
      </c>
      <c r="K10" s="116">
        <f t="shared" si="18"/>
        <v>154.75860599999999</v>
      </c>
      <c r="L10" s="116">
        <f t="shared" si="18"/>
        <v>153.46473499999999</v>
      </c>
      <c r="M10" s="116">
        <f t="shared" si="18"/>
        <v>152.75756999999999</v>
      </c>
      <c r="N10" s="116">
        <f t="shared" si="18"/>
        <v>152.40733799999998</v>
      </c>
      <c r="O10" s="116">
        <f t="shared" si="18"/>
        <v>152.342478</v>
      </c>
      <c r="P10" s="116">
        <f t="shared" si="18"/>
        <v>152.18939799999998</v>
      </c>
      <c r="Q10" s="116">
        <f t="shared" si="18"/>
        <v>152.13592599999998</v>
      </c>
      <c r="R10" s="116">
        <f t="shared" si="18"/>
        <v>152.18978900000002</v>
      </c>
      <c r="S10" s="116">
        <f t="shared" si="18"/>
        <v>152.243357</v>
      </c>
      <c r="T10" s="116">
        <f t="shared" si="18"/>
        <v>152.47626400000001</v>
      </c>
      <c r="U10" s="116">
        <f t="shared" si="18"/>
        <v>152.478295</v>
      </c>
      <c r="W10" s="1" t="s">
        <v>76</v>
      </c>
      <c r="X10" s="117">
        <f t="shared" si="0"/>
        <v>4.2915308104944705E-2</v>
      </c>
      <c r="Y10" s="117">
        <f t="shared" si="1"/>
        <v>-5.4170218110154433E-3</v>
      </c>
      <c r="Z10" s="117">
        <f t="shared" si="2"/>
        <v>1.0838553460106315E-2</v>
      </c>
      <c r="AA10" s="117">
        <f t="shared" si="3"/>
        <v>1.6710835649279776E-2</v>
      </c>
      <c r="AB10" s="117">
        <f t="shared" si="4"/>
        <v>1.5437765381453916E-2</v>
      </c>
      <c r="AC10" s="117">
        <f t="shared" si="5"/>
        <v>1.563370359060734E-2</v>
      </c>
      <c r="AD10" s="117">
        <f t="shared" si="6"/>
        <v>1.4023607162104712E-2</v>
      </c>
      <c r="AE10" s="117">
        <f t="shared" si="7"/>
        <v>2.7819739646786079E-3</v>
      </c>
      <c r="AF10" s="117">
        <f t="shared" si="8"/>
        <v>-5.601860375594736E-3</v>
      </c>
      <c r="AG10" s="117">
        <f t="shared" si="9"/>
        <v>-1.0184043770415041E-2</v>
      </c>
      <c r="AH10" s="117">
        <f t="shared" si="10"/>
        <v>-1.2453425392433548E-2</v>
      </c>
      <c r="AI10" s="117">
        <f t="shared" si="11"/>
        <v>-1.2873695647590333E-2</v>
      </c>
      <c r="AJ10" s="117">
        <f t="shared" si="12"/>
        <v>-1.3865600838145808E-2</v>
      </c>
      <c r="AK10" s="117">
        <f t="shared" si="13"/>
        <v>-1.4212080811685013E-2</v>
      </c>
      <c r="AL10" s="117">
        <f t="shared" si="14"/>
        <v>-1.3863067294054288E-2</v>
      </c>
      <c r="AM10" s="117">
        <f t="shared" si="15"/>
        <v>-1.3515965273884101E-2</v>
      </c>
      <c r="AN10" s="117">
        <f t="shared" si="16"/>
        <v>-1.2006808870587138E-2</v>
      </c>
      <c r="AO10" s="117">
        <f t="shared" si="17"/>
        <v>-1.1993648696547399E-2</v>
      </c>
      <c r="AP10" s="118"/>
    </row>
    <row r="11" spans="2:42" x14ac:dyDescent="0.25">
      <c r="B11" s="1" t="s">
        <v>71</v>
      </c>
      <c r="C11" s="116">
        <v>58.105057000000002</v>
      </c>
      <c r="D11" s="116">
        <v>57.678055000000001</v>
      </c>
      <c r="E11" s="116">
        <v>58.255778999999997</v>
      </c>
      <c r="F11" s="116">
        <v>59.347904</v>
      </c>
      <c r="G11" s="116">
        <v>59.651443</v>
      </c>
      <c r="H11" s="116">
        <v>59.557571000000003</v>
      </c>
      <c r="I11" s="116">
        <v>59.488093999999997</v>
      </c>
      <c r="J11" s="116">
        <v>59.310509000000003</v>
      </c>
      <c r="K11" s="116">
        <v>58.644539000000002</v>
      </c>
      <c r="L11" s="116">
        <v>58.136443999999997</v>
      </c>
      <c r="M11" s="116">
        <v>57.833083999999999</v>
      </c>
      <c r="N11" s="116">
        <v>57.667319999999997</v>
      </c>
      <c r="O11" s="116">
        <v>57.603825000000001</v>
      </c>
      <c r="P11" s="116">
        <v>57.517479000000002</v>
      </c>
      <c r="Q11" s="116">
        <v>57.481029999999997</v>
      </c>
      <c r="R11" s="116">
        <v>57.498992999999999</v>
      </c>
      <c r="S11" s="116">
        <v>57.518585000000002</v>
      </c>
      <c r="T11" s="116">
        <v>57.606955999999997</v>
      </c>
      <c r="U11" s="116">
        <v>57.602341000000003</v>
      </c>
      <c r="W11" s="1" t="s">
        <v>71</v>
      </c>
      <c r="X11" s="117">
        <f t="shared" si="0"/>
        <v>-7.3487923779164133E-3</v>
      </c>
      <c r="Y11" s="117">
        <f t="shared" si="1"/>
        <v>2.5939566671451253E-3</v>
      </c>
      <c r="Z11" s="117">
        <f t="shared" si="2"/>
        <v>2.1389652883397003E-2</v>
      </c>
      <c r="AA11" s="117">
        <f t="shared" si="3"/>
        <v>2.6613621599235193E-2</v>
      </c>
      <c r="AB11" s="117">
        <f t="shared" si="4"/>
        <v>2.4998065142591619E-2</v>
      </c>
      <c r="AC11" s="117">
        <f t="shared" si="5"/>
        <v>2.3802351661061039E-2</v>
      </c>
      <c r="AD11" s="117">
        <f t="shared" si="6"/>
        <v>2.0746077230420878E-2</v>
      </c>
      <c r="AE11" s="117">
        <f t="shared" si="7"/>
        <v>9.2845963476122506E-3</v>
      </c>
      <c r="AF11" s="117">
        <f t="shared" si="8"/>
        <v>5.4017673539141775E-4</v>
      </c>
      <c r="AG11" s="117">
        <f t="shared" si="9"/>
        <v>-4.6807113535746181E-3</v>
      </c>
      <c r="AH11" s="117">
        <f t="shared" si="10"/>
        <v>-7.5335439392134607E-3</v>
      </c>
      <c r="AI11" s="117">
        <f t="shared" si="11"/>
        <v>-8.6263059685149912E-3</v>
      </c>
      <c r="AJ11" s="117">
        <f t="shared" si="12"/>
        <v>-1.0112338414881905E-2</v>
      </c>
      <c r="AK11" s="117">
        <f t="shared" si="13"/>
        <v>-1.0739633212992206E-2</v>
      </c>
      <c r="AL11" s="117">
        <f t="shared" si="14"/>
        <v>-1.0430486282803297E-2</v>
      </c>
      <c r="AM11" s="117">
        <f t="shared" si="15"/>
        <v>-1.009330392705754E-2</v>
      </c>
      <c r="AN11" s="117">
        <f t="shared" si="16"/>
        <v>-8.5724208135620206E-3</v>
      </c>
      <c r="AO11" s="117">
        <f t="shared" si="17"/>
        <v>-8.6518459142033155E-3</v>
      </c>
      <c r="AP11" s="118"/>
    </row>
    <row r="12" spans="2:42" x14ac:dyDescent="0.25">
      <c r="B12" s="1" t="s">
        <v>72</v>
      </c>
      <c r="C12" s="116">
        <v>27.015315999999999</v>
      </c>
      <c r="D12" s="116">
        <v>27.169806999999999</v>
      </c>
      <c r="E12" s="116">
        <v>22.564905</v>
      </c>
      <c r="F12" s="116">
        <v>22.939223999999999</v>
      </c>
      <c r="G12" s="116">
        <v>23.018055</v>
      </c>
      <c r="H12" s="116">
        <v>22.954563</v>
      </c>
      <c r="I12" s="116">
        <v>22.895130000000002</v>
      </c>
      <c r="J12" s="116">
        <v>22.802485999999998</v>
      </c>
      <c r="K12" s="116">
        <v>22.473633</v>
      </c>
      <c r="L12" s="116">
        <v>22.236768999999999</v>
      </c>
      <c r="M12" s="116">
        <v>22.090685000000001</v>
      </c>
      <c r="N12" s="116">
        <v>22.010099</v>
      </c>
      <c r="O12" s="116">
        <v>21.977423000000002</v>
      </c>
      <c r="P12" s="116">
        <v>21.929213000000001</v>
      </c>
      <c r="Q12" s="116">
        <v>21.903095</v>
      </c>
      <c r="R12" s="116">
        <v>21.906693000000001</v>
      </c>
      <c r="S12" s="116">
        <v>21.914179000000001</v>
      </c>
      <c r="T12" s="116">
        <v>21.947952000000001</v>
      </c>
      <c r="U12" s="116">
        <v>21.939803999999999</v>
      </c>
      <c r="W12" s="1" t="s">
        <v>72</v>
      </c>
      <c r="X12" s="117">
        <f t="shared" si="0"/>
        <v>5.7186449345993928E-3</v>
      </c>
      <c r="Y12" s="117">
        <f t="shared" si="1"/>
        <v>-0.16473658868176844</v>
      </c>
      <c r="Z12" s="117">
        <f t="shared" si="2"/>
        <v>-0.15088078184982179</v>
      </c>
      <c r="AA12" s="117">
        <f t="shared" si="3"/>
        <v>-0.14796277045213901</v>
      </c>
      <c r="AB12" s="117">
        <f t="shared" si="4"/>
        <v>-0.15031299282229382</v>
      </c>
      <c r="AC12" s="117">
        <f t="shared" si="5"/>
        <v>-0.15251296708874318</v>
      </c>
      <c r="AD12" s="117">
        <f t="shared" si="6"/>
        <v>-0.15594228103791197</v>
      </c>
      <c r="AE12" s="117">
        <f t="shared" si="7"/>
        <v>-0.16811511662495449</v>
      </c>
      <c r="AF12" s="117">
        <f t="shared" si="8"/>
        <v>-0.17688288376859995</v>
      </c>
      <c r="AG12" s="117">
        <f t="shared" si="9"/>
        <v>-0.18229033486041768</v>
      </c>
      <c r="AH12" s="117">
        <f t="shared" si="10"/>
        <v>-0.18527330940715259</v>
      </c>
      <c r="AI12" s="117">
        <f t="shared" si="11"/>
        <v>-0.18648284550882166</v>
      </c>
      <c r="AJ12" s="117">
        <f t="shared" si="12"/>
        <v>-0.18826738876569127</v>
      </c>
      <c r="AK12" s="117">
        <f t="shared" si="13"/>
        <v>-0.18923417368132944</v>
      </c>
      <c r="AL12" s="117">
        <f t="shared" si="14"/>
        <v>-0.18910098997176261</v>
      </c>
      <c r="AM12" s="117">
        <f t="shared" si="15"/>
        <v>-0.18882388790121862</v>
      </c>
      <c r="AN12" s="117">
        <f t="shared" si="16"/>
        <v>-0.18757374520438697</v>
      </c>
      <c r="AO12" s="117">
        <f t="shared" si="17"/>
        <v>-0.18787535189297799</v>
      </c>
      <c r="AP12" s="118"/>
    </row>
    <row r="13" spans="2:42" x14ac:dyDescent="0.25">
      <c r="B13" s="1" t="s">
        <v>73</v>
      </c>
      <c r="C13" s="116">
        <v>69.208893000000003</v>
      </c>
      <c r="D13" s="116">
        <v>76.104491999999993</v>
      </c>
      <c r="E13" s="116">
        <v>72.672577000000004</v>
      </c>
      <c r="F13" s="116">
        <v>73.714843999999999</v>
      </c>
      <c r="G13" s="116">
        <v>74.238738999999995</v>
      </c>
      <c r="H13" s="116">
        <v>74.199630999999997</v>
      </c>
      <c r="I13" s="116">
        <v>74.358779999999996</v>
      </c>
      <c r="J13" s="116">
        <v>74.380523999999994</v>
      </c>
      <c r="K13" s="116">
        <v>73.640433999999999</v>
      </c>
      <c r="L13" s="116">
        <v>73.091521999999998</v>
      </c>
      <c r="M13" s="116">
        <v>72.833800999999994</v>
      </c>
      <c r="N13" s="116">
        <v>72.729918999999995</v>
      </c>
      <c r="O13" s="116">
        <v>72.761229999999998</v>
      </c>
      <c r="P13" s="116">
        <v>72.742705999999998</v>
      </c>
      <c r="Q13" s="116">
        <v>72.751801</v>
      </c>
      <c r="R13" s="116">
        <v>72.784103000000002</v>
      </c>
      <c r="S13" s="116">
        <v>72.810592999999997</v>
      </c>
      <c r="T13" s="116">
        <v>72.921356000000003</v>
      </c>
      <c r="U13" s="116">
        <v>72.936149999999998</v>
      </c>
      <c r="W13" s="1" t="s">
        <v>73</v>
      </c>
      <c r="X13" s="117">
        <f t="shared" si="0"/>
        <v>9.9634580197663247E-2</v>
      </c>
      <c r="Y13" s="117">
        <f t="shared" si="1"/>
        <v>5.0046805401149808E-2</v>
      </c>
      <c r="Z13" s="117">
        <f t="shared" si="2"/>
        <v>6.5106531901904408E-2</v>
      </c>
      <c r="AA13" s="117">
        <f t="shared" si="3"/>
        <v>7.2676296093913795E-2</v>
      </c>
      <c r="AB13" s="117">
        <f t="shared" si="4"/>
        <v>7.2111224203513791E-2</v>
      </c>
      <c r="AC13" s="117">
        <f t="shared" si="5"/>
        <v>7.4410769725792303E-2</v>
      </c>
      <c r="AD13" s="117">
        <f t="shared" si="6"/>
        <v>7.4724949003302177E-2</v>
      </c>
      <c r="AE13" s="117">
        <f t="shared" si="7"/>
        <v>6.4031381053876846E-2</v>
      </c>
      <c r="AF13" s="117">
        <f t="shared" si="8"/>
        <v>5.6100145974015136E-2</v>
      </c>
      <c r="AG13" s="117">
        <f t="shared" si="9"/>
        <v>5.2376332619566535E-2</v>
      </c>
      <c r="AH13" s="117">
        <f t="shared" si="10"/>
        <v>5.0875340543302672E-2</v>
      </c>
      <c r="AI13" s="117">
        <f t="shared" si="11"/>
        <v>5.1327753501273277E-2</v>
      </c>
      <c r="AJ13" s="117">
        <f t="shared" si="12"/>
        <v>5.1060100036566025E-2</v>
      </c>
      <c r="AK13" s="117">
        <f t="shared" si="13"/>
        <v>5.119151378421849E-2</v>
      </c>
      <c r="AL13" s="117">
        <f t="shared" si="14"/>
        <v>5.1658245711284412E-2</v>
      </c>
      <c r="AM13" s="117">
        <f t="shared" si="15"/>
        <v>5.2040999991142645E-2</v>
      </c>
      <c r="AN13" s="117">
        <f t="shared" si="16"/>
        <v>5.3641415706504603E-2</v>
      </c>
      <c r="AO13" s="117">
        <f t="shared" si="17"/>
        <v>5.3855174363213631E-2</v>
      </c>
      <c r="AP13" s="118"/>
    </row>
    <row r="14" spans="2:42" x14ac:dyDescent="0.25">
      <c r="B14" s="1" t="s">
        <v>54</v>
      </c>
      <c r="C14" s="116">
        <v>269.91677900000002</v>
      </c>
      <c r="D14" s="116">
        <v>272.05044600000002</v>
      </c>
      <c r="E14" s="116">
        <v>276.71484400000003</v>
      </c>
      <c r="F14" s="116">
        <v>278.86447099999998</v>
      </c>
      <c r="G14" s="116">
        <v>281.18420400000002</v>
      </c>
      <c r="H14" s="116">
        <v>281.53823899999998</v>
      </c>
      <c r="I14" s="116">
        <v>283.06601000000001</v>
      </c>
      <c r="J14" s="116">
        <v>284.22170999999997</v>
      </c>
      <c r="K14" s="116">
        <v>282.75619499999999</v>
      </c>
      <c r="L14" s="116">
        <v>281.81494099999998</v>
      </c>
      <c r="M14" s="116">
        <v>281.852417</v>
      </c>
      <c r="N14" s="116">
        <v>282.44473299999999</v>
      </c>
      <c r="O14" s="116">
        <v>283.47299199999998</v>
      </c>
      <c r="P14" s="116">
        <v>284.35742199999999</v>
      </c>
      <c r="Q14" s="116">
        <v>285.265198</v>
      </c>
      <c r="R14" s="116">
        <v>286.24002100000001</v>
      </c>
      <c r="S14" s="116">
        <v>287.23663299999998</v>
      </c>
      <c r="T14" s="116">
        <v>288.47744799999998</v>
      </c>
      <c r="U14" s="116">
        <v>289.31991599999998</v>
      </c>
      <c r="W14" s="1" t="s">
        <v>54</v>
      </c>
      <c r="X14" s="117">
        <f t="shared" si="0"/>
        <v>7.9049068676089185E-3</v>
      </c>
      <c r="Y14" s="117">
        <f t="shared" si="1"/>
        <v>2.5185781429319709E-2</v>
      </c>
      <c r="Z14" s="117">
        <f t="shared" si="2"/>
        <v>3.3149817633234102E-2</v>
      </c>
      <c r="AA14" s="117">
        <f t="shared" si="3"/>
        <v>4.1744070308426418E-2</v>
      </c>
      <c r="AB14" s="117">
        <f t="shared" si="4"/>
        <v>4.3055715332168898E-2</v>
      </c>
      <c r="AC14" s="117">
        <f t="shared" si="5"/>
        <v>4.871587105001729E-2</v>
      </c>
      <c r="AD14" s="117">
        <f t="shared" si="6"/>
        <v>5.2997561148282468E-2</v>
      </c>
      <c r="AE14" s="117">
        <f t="shared" si="7"/>
        <v>4.7568054300173745E-2</v>
      </c>
      <c r="AF14" s="117">
        <f t="shared" si="8"/>
        <v>4.4080853528561059E-2</v>
      </c>
      <c r="AG14" s="117">
        <f t="shared" si="9"/>
        <v>4.4219696323509972E-2</v>
      </c>
      <c r="AH14" s="117">
        <f t="shared" si="10"/>
        <v>4.6414135669572198E-2</v>
      </c>
      <c r="AI14" s="117">
        <f t="shared" si="11"/>
        <v>5.0223676535499751E-2</v>
      </c>
      <c r="AJ14" s="117">
        <f t="shared" si="12"/>
        <v>5.3500353158852487E-2</v>
      </c>
      <c r="AK14" s="117">
        <f t="shared" si="13"/>
        <v>5.6863523108357628E-2</v>
      </c>
      <c r="AL14" s="117">
        <f t="shared" si="14"/>
        <v>6.0475091843030571E-2</v>
      </c>
      <c r="AM14" s="117">
        <f t="shared" si="15"/>
        <v>6.416738545920464E-2</v>
      </c>
      <c r="AN14" s="117">
        <f t="shared" si="16"/>
        <v>6.8764413493538123E-2</v>
      </c>
      <c r="AO14" s="117">
        <f t="shared" si="17"/>
        <v>7.1885627384431494E-2</v>
      </c>
      <c r="AP14" s="118"/>
    </row>
    <row r="15" spans="2:42" x14ac:dyDescent="0.25">
      <c r="B15" s="1" t="s">
        <v>59</v>
      </c>
      <c r="C15" s="116">
        <v>91.754929000000004</v>
      </c>
      <c r="D15" s="116">
        <v>91.572074999999998</v>
      </c>
      <c r="E15" s="116">
        <v>102.656387</v>
      </c>
      <c r="F15" s="116">
        <v>102.8862</v>
      </c>
      <c r="G15" s="116">
        <v>103.34568</v>
      </c>
      <c r="H15" s="116">
        <v>104.316986</v>
      </c>
      <c r="I15" s="116">
        <v>105.128777</v>
      </c>
      <c r="J15" s="116">
        <v>105.677803</v>
      </c>
      <c r="K15" s="116">
        <v>105.569382</v>
      </c>
      <c r="L15" s="116">
        <v>105.58963</v>
      </c>
      <c r="M15" s="116">
        <v>105.99979399999999</v>
      </c>
      <c r="N15" s="116">
        <v>106.421013</v>
      </c>
      <c r="O15" s="116">
        <v>107.076103</v>
      </c>
      <c r="P15" s="116">
        <v>107.542137</v>
      </c>
      <c r="Q15" s="116">
        <v>107.94787599999999</v>
      </c>
      <c r="R15" s="116">
        <v>108.340515</v>
      </c>
      <c r="S15" s="116">
        <v>108.619591</v>
      </c>
      <c r="T15" s="116">
        <v>108.95105700000001</v>
      </c>
      <c r="U15" s="116">
        <v>109.139343</v>
      </c>
      <c r="W15" s="1" t="s">
        <v>59</v>
      </c>
      <c r="X15" s="117">
        <f t="shared" si="0"/>
        <v>-1.9928520679254325E-3</v>
      </c>
      <c r="Y15" s="117">
        <f t="shared" si="1"/>
        <v>0.11881059817505824</v>
      </c>
      <c r="Z15" s="117">
        <f t="shared" si="2"/>
        <v>0.12131523746261075</v>
      </c>
      <c r="AA15" s="117">
        <f t="shared" si="3"/>
        <v>0.12632292484254437</v>
      </c>
      <c r="AB15" s="117">
        <f t="shared" si="4"/>
        <v>0.13690879756443386</v>
      </c>
      <c r="AC15" s="117">
        <f t="shared" si="5"/>
        <v>0.14575618057532358</v>
      </c>
      <c r="AD15" s="117">
        <f t="shared" si="6"/>
        <v>0.15173979372813839</v>
      </c>
      <c r="AE15" s="117">
        <f t="shared" si="7"/>
        <v>0.15055815693563446</v>
      </c>
      <c r="AF15" s="117">
        <f t="shared" si="8"/>
        <v>0.15077883172902884</v>
      </c>
      <c r="AG15" s="117">
        <f t="shared" si="9"/>
        <v>0.15524904389605032</v>
      </c>
      <c r="AH15" s="117">
        <f t="shared" si="10"/>
        <v>0.15983974005363777</v>
      </c>
      <c r="AI15" s="117">
        <f t="shared" si="11"/>
        <v>0.16697930200567201</v>
      </c>
      <c r="AJ15" s="117">
        <f t="shared" si="12"/>
        <v>0.17205841879077677</v>
      </c>
      <c r="AK15" s="117">
        <f t="shared" si="13"/>
        <v>0.17648040466578085</v>
      </c>
      <c r="AL15" s="117">
        <f t="shared" si="14"/>
        <v>0.18075961891921888</v>
      </c>
      <c r="AM15" s="117">
        <f t="shared" si="15"/>
        <v>0.18380115579403911</v>
      </c>
      <c r="AN15" s="117">
        <f t="shared" si="16"/>
        <v>0.18741367016915245</v>
      </c>
      <c r="AO15" s="117">
        <f t="shared" si="17"/>
        <v>0.18946572341634083</v>
      </c>
      <c r="AP15" s="118"/>
    </row>
    <row r="16" spans="2:42" x14ac:dyDescent="0.25">
      <c r="B16" s="1" t="s">
        <v>56</v>
      </c>
      <c r="C16" s="116">
        <v>524.20654300000001</v>
      </c>
      <c r="D16" s="116">
        <v>539.79150400000003</v>
      </c>
      <c r="E16" s="116">
        <v>540.16467299999999</v>
      </c>
      <c r="F16" s="116">
        <v>542.02783199999999</v>
      </c>
      <c r="G16" s="116">
        <v>546.03613299999995</v>
      </c>
      <c r="H16" s="116">
        <v>553.14367700000003</v>
      </c>
      <c r="I16" s="116">
        <v>559.41418499999997</v>
      </c>
      <c r="J16" s="116">
        <v>563.53375200000005</v>
      </c>
      <c r="K16" s="116">
        <v>563.95367399999998</v>
      </c>
      <c r="L16" s="116">
        <v>564.69860800000004</v>
      </c>
      <c r="M16" s="116">
        <v>567.63995399999999</v>
      </c>
      <c r="N16" s="116">
        <v>570.57952899999998</v>
      </c>
      <c r="O16" s="116">
        <v>574.410706</v>
      </c>
      <c r="P16" s="116">
        <v>577.493469</v>
      </c>
      <c r="Q16" s="116">
        <v>579.99609399999997</v>
      </c>
      <c r="R16" s="116">
        <v>582.22796600000004</v>
      </c>
      <c r="S16" s="116">
        <v>583.89660600000002</v>
      </c>
      <c r="T16" s="116">
        <v>585.526794</v>
      </c>
      <c r="U16" s="116">
        <v>586.67596400000002</v>
      </c>
      <c r="W16" s="1" t="s">
        <v>56</v>
      </c>
      <c r="X16" s="117">
        <f t="shared" si="0"/>
        <v>2.9730573202707999E-2</v>
      </c>
      <c r="Y16" s="117">
        <f t="shared" si="1"/>
        <v>3.0442447186318278E-2</v>
      </c>
      <c r="Z16" s="117">
        <f t="shared" si="2"/>
        <v>3.3996693169852321E-2</v>
      </c>
      <c r="AA16" s="117">
        <f t="shared" si="3"/>
        <v>4.1643108601946421E-2</v>
      </c>
      <c r="AB16" s="117">
        <f t="shared" si="4"/>
        <v>5.5201779501634407E-2</v>
      </c>
      <c r="AC16" s="117">
        <f t="shared" si="5"/>
        <v>6.7163682846286044E-2</v>
      </c>
      <c r="AD16" s="117">
        <f t="shared" si="6"/>
        <v>7.5022354308919903E-2</v>
      </c>
      <c r="AE16" s="117">
        <f t="shared" si="7"/>
        <v>7.5823416420042644E-2</v>
      </c>
      <c r="AF16" s="117">
        <f t="shared" si="8"/>
        <v>7.7244486053658523E-2</v>
      </c>
      <c r="AG16" s="117">
        <f t="shared" si="9"/>
        <v>8.2855530095891972E-2</v>
      </c>
      <c r="AH16" s="117">
        <f t="shared" si="10"/>
        <v>8.8463195698799124E-2</v>
      </c>
      <c r="AI16" s="117">
        <f t="shared" si="11"/>
        <v>9.5771721414778188E-2</v>
      </c>
      <c r="AJ16" s="117">
        <f t="shared" si="12"/>
        <v>0.10165253889248005</v>
      </c>
      <c r="AK16" s="117">
        <f t="shared" si="13"/>
        <v>0.10642665900490278</v>
      </c>
      <c r="AL16" s="117">
        <f t="shared" si="14"/>
        <v>0.11068427850584839</v>
      </c>
      <c r="AM16" s="117">
        <f t="shared" si="15"/>
        <v>0.11386745128818432</v>
      </c>
      <c r="AN16" s="117">
        <f t="shared" si="16"/>
        <v>0.11697727130429958</v>
      </c>
      <c r="AO16" s="117">
        <f t="shared" si="17"/>
        <v>0.11916947972929059</v>
      </c>
      <c r="AP16" s="118"/>
    </row>
    <row r="17" spans="2:42" x14ac:dyDescent="0.25">
      <c r="B17" s="1" t="s">
        <v>51</v>
      </c>
      <c r="C17" s="116">
        <v>145.070572</v>
      </c>
      <c r="D17" s="116">
        <v>137.74156199999999</v>
      </c>
      <c r="E17" s="116">
        <v>148.19293200000001</v>
      </c>
      <c r="F17" s="116">
        <v>148.50186199999999</v>
      </c>
      <c r="G17" s="116">
        <v>151.36286899999999</v>
      </c>
      <c r="H17" s="116">
        <v>150.20343</v>
      </c>
      <c r="I17" s="116">
        <v>153.19731100000001</v>
      </c>
      <c r="J17" s="116">
        <v>155.89172400000001</v>
      </c>
      <c r="K17" s="116">
        <v>157.315979</v>
      </c>
      <c r="L17" s="116">
        <v>158.57858300000001</v>
      </c>
      <c r="M17" s="116">
        <v>160.30069</v>
      </c>
      <c r="N17" s="116">
        <v>161.882431</v>
      </c>
      <c r="O17" s="116">
        <v>163.72177099999999</v>
      </c>
      <c r="P17" s="116">
        <v>165.331131</v>
      </c>
      <c r="Q17" s="116">
        <v>166.98826600000001</v>
      </c>
      <c r="R17" s="116">
        <v>168.28166200000001</v>
      </c>
      <c r="S17" s="116">
        <v>169.746567</v>
      </c>
      <c r="T17" s="116">
        <v>171.29394500000001</v>
      </c>
      <c r="U17" s="116">
        <v>172.626801</v>
      </c>
      <c r="W17" s="1" t="s">
        <v>51</v>
      </c>
      <c r="X17" s="117">
        <f t="shared" si="0"/>
        <v>-5.0520308143542803E-2</v>
      </c>
      <c r="Y17" s="117">
        <f t="shared" si="1"/>
        <v>2.1523041902667961E-2</v>
      </c>
      <c r="Z17" s="117">
        <f t="shared" si="2"/>
        <v>2.3652557184375089E-2</v>
      </c>
      <c r="AA17" s="117">
        <f t="shared" si="3"/>
        <v>4.3374041428609011E-2</v>
      </c>
      <c r="AB17" s="117">
        <f t="shared" si="4"/>
        <v>3.5381800245469552E-2</v>
      </c>
      <c r="AC17" s="117">
        <f t="shared" si="5"/>
        <v>5.6019211118847778E-2</v>
      </c>
      <c r="AD17" s="117">
        <f t="shared" si="6"/>
        <v>7.4592330138465446E-2</v>
      </c>
      <c r="AE17" s="117">
        <f t="shared" si="7"/>
        <v>8.4410000120493045E-2</v>
      </c>
      <c r="AF17" s="117">
        <f t="shared" si="8"/>
        <v>9.3113377949595622E-2</v>
      </c>
      <c r="AG17" s="117">
        <f t="shared" si="9"/>
        <v>0.10498420037938505</v>
      </c>
      <c r="AH17" s="117">
        <f t="shared" si="10"/>
        <v>0.11588745234974329</v>
      </c>
      <c r="AI17" s="117">
        <f t="shared" si="11"/>
        <v>0.1285663849178178</v>
      </c>
      <c r="AJ17" s="117">
        <f t="shared" si="12"/>
        <v>0.13966002009008416</v>
      </c>
      <c r="AK17" s="117">
        <f t="shared" si="13"/>
        <v>0.15108297773858648</v>
      </c>
      <c r="AL17" s="117">
        <f t="shared" si="14"/>
        <v>0.15999861088298473</v>
      </c>
      <c r="AM17" s="117">
        <f t="shared" si="15"/>
        <v>0.17009648931418009</v>
      </c>
      <c r="AN17" s="117">
        <f t="shared" si="16"/>
        <v>0.180762870363536</v>
      </c>
      <c r="AO17" s="117">
        <f t="shared" si="17"/>
        <v>0.18995050905293187</v>
      </c>
      <c r="AP17" s="118"/>
    </row>
    <row r="18" spans="2:42" x14ac:dyDescent="0.25">
      <c r="B18" s="1" t="s">
        <v>60</v>
      </c>
      <c r="C18" s="116">
        <v>105.71904000000001</v>
      </c>
      <c r="D18" s="116">
        <v>115.118706</v>
      </c>
      <c r="E18" s="116">
        <v>107.820328</v>
      </c>
      <c r="F18" s="116">
        <v>108.21341700000001</v>
      </c>
      <c r="G18" s="116">
        <v>108.72968299999999</v>
      </c>
      <c r="H18" s="116">
        <v>109.837563</v>
      </c>
      <c r="I18" s="116">
        <v>110.85987900000001</v>
      </c>
      <c r="J18" s="116">
        <v>111.608536</v>
      </c>
      <c r="K18" s="116">
        <v>111.736679</v>
      </c>
      <c r="L18" s="116">
        <v>112.005943</v>
      </c>
      <c r="M18" s="116">
        <v>112.625671</v>
      </c>
      <c r="N18" s="116">
        <v>113.24395</v>
      </c>
      <c r="O18" s="116">
        <v>113.98350499999999</v>
      </c>
      <c r="P18" s="116">
        <v>114.62487</v>
      </c>
      <c r="Q18" s="116">
        <v>115.169983</v>
      </c>
      <c r="R18" s="116">
        <v>115.697395</v>
      </c>
      <c r="S18" s="116">
        <v>116.12663999999999</v>
      </c>
      <c r="T18" s="116">
        <v>116.55384100000001</v>
      </c>
      <c r="U18" s="116">
        <v>116.878799</v>
      </c>
      <c r="W18" s="1" t="s">
        <v>60</v>
      </c>
      <c r="X18" s="117">
        <f t="shared" si="0"/>
        <v>8.8911760833242592E-2</v>
      </c>
      <c r="Y18" s="117">
        <f t="shared" si="1"/>
        <v>1.987615475887794E-2</v>
      </c>
      <c r="Z18" s="117">
        <f t="shared" si="2"/>
        <v>2.3594396997929534E-2</v>
      </c>
      <c r="AA18" s="117">
        <f t="shared" si="3"/>
        <v>2.8477774675214507E-2</v>
      </c>
      <c r="AB18" s="117">
        <f t="shared" si="4"/>
        <v>3.895724932803013E-2</v>
      </c>
      <c r="AC18" s="117">
        <f t="shared" si="5"/>
        <v>4.8627371190657742E-2</v>
      </c>
      <c r="AD18" s="117">
        <f t="shared" si="6"/>
        <v>5.5708943251849385E-2</v>
      </c>
      <c r="AE18" s="117">
        <f t="shared" si="7"/>
        <v>5.692105225321753E-2</v>
      </c>
      <c r="AF18" s="117">
        <f t="shared" si="8"/>
        <v>5.946802959996611E-2</v>
      </c>
      <c r="AG18" s="117">
        <f t="shared" si="9"/>
        <v>6.5330057859019464E-2</v>
      </c>
      <c r="AH18" s="117">
        <f t="shared" si="10"/>
        <v>7.1178379977721917E-2</v>
      </c>
      <c r="AI18" s="117">
        <f t="shared" si="11"/>
        <v>7.8173855910912415E-2</v>
      </c>
      <c r="AJ18" s="117">
        <f t="shared" si="12"/>
        <v>8.4240549289891442E-2</v>
      </c>
      <c r="AK18" s="117">
        <f t="shared" si="13"/>
        <v>8.9396791722664126E-2</v>
      </c>
      <c r="AL18" s="117">
        <f t="shared" si="14"/>
        <v>9.4385599793565866E-2</v>
      </c>
      <c r="AM18" s="117">
        <f t="shared" si="15"/>
        <v>9.8445842868039479E-2</v>
      </c>
      <c r="AN18" s="117">
        <f t="shared" si="16"/>
        <v>0.10248675167689747</v>
      </c>
      <c r="AO18" s="117">
        <f t="shared" si="17"/>
        <v>0.10556054046650432</v>
      </c>
      <c r="AP18" s="118"/>
    </row>
    <row r="19" spans="2:42" x14ac:dyDescent="0.25">
      <c r="B19" s="1" t="s">
        <v>49</v>
      </c>
      <c r="C19" s="116">
        <v>259.88107300000001</v>
      </c>
      <c r="D19" s="116">
        <v>227.21989400000001</v>
      </c>
      <c r="E19" s="116">
        <v>247.188354</v>
      </c>
      <c r="F19" s="116">
        <v>245.99679599999999</v>
      </c>
      <c r="G19" s="116">
        <v>248.57321200000001</v>
      </c>
      <c r="H19" s="116">
        <v>252.16445899999999</v>
      </c>
      <c r="I19" s="116">
        <v>256.238586</v>
      </c>
      <c r="J19" s="116">
        <v>259.76620500000001</v>
      </c>
      <c r="K19" s="116">
        <v>261.363068</v>
      </c>
      <c r="L19" s="116">
        <v>262.981201</v>
      </c>
      <c r="M19" s="116">
        <v>265.33795199999997</v>
      </c>
      <c r="N19" s="116">
        <v>267.94635</v>
      </c>
      <c r="O19" s="116">
        <v>270.70251500000001</v>
      </c>
      <c r="P19" s="116">
        <v>273.272583</v>
      </c>
      <c r="Q19" s="116">
        <v>275.64025900000001</v>
      </c>
      <c r="R19" s="116">
        <v>277.82418799999999</v>
      </c>
      <c r="S19" s="116">
        <v>280.09728999999999</v>
      </c>
      <c r="T19" s="116">
        <v>282.26293900000002</v>
      </c>
      <c r="U19" s="116">
        <v>284.07312000000002</v>
      </c>
      <c r="W19" s="1" t="s">
        <v>49</v>
      </c>
      <c r="X19" s="117">
        <f t="shared" si="0"/>
        <v>-0.12567740552618079</v>
      </c>
      <c r="Y19" s="117">
        <f t="shared" si="1"/>
        <v>-4.8840490203763354E-2</v>
      </c>
      <c r="Z19" s="117">
        <f t="shared" si="2"/>
        <v>-5.3425502826056182E-2</v>
      </c>
      <c r="AA19" s="117">
        <f t="shared" si="3"/>
        <v>-4.3511675819500772E-2</v>
      </c>
      <c r="AB19" s="117">
        <f t="shared" si="4"/>
        <v>-2.9692866475120372E-2</v>
      </c>
      <c r="AC19" s="117">
        <f t="shared" si="5"/>
        <v>-1.4015976453968348E-2</v>
      </c>
      <c r="AD19" s="117">
        <f t="shared" si="6"/>
        <v>-4.4200217689571719E-4</v>
      </c>
      <c r="AE19" s="117">
        <f t="shared" si="7"/>
        <v>5.702589199329644E-3</v>
      </c>
      <c r="AF19" s="117">
        <f t="shared" si="8"/>
        <v>1.1929025704769058E-2</v>
      </c>
      <c r="AG19" s="117">
        <f t="shared" si="9"/>
        <v>2.0997600698685615E-2</v>
      </c>
      <c r="AH19" s="117">
        <f t="shared" si="10"/>
        <v>3.103449168843464E-2</v>
      </c>
      <c r="AI19" s="117">
        <f t="shared" si="11"/>
        <v>4.1639977375343529E-2</v>
      </c>
      <c r="AJ19" s="117">
        <f t="shared" si="12"/>
        <v>5.1529377824294231E-2</v>
      </c>
      <c r="AK19" s="117">
        <f t="shared" si="13"/>
        <v>6.0639991277856575E-2</v>
      </c>
      <c r="AL19" s="117">
        <f t="shared" si="14"/>
        <v>6.9043562091187782E-2</v>
      </c>
      <c r="AM19" s="117">
        <f t="shared" si="15"/>
        <v>7.7790262933076226E-2</v>
      </c>
      <c r="AN19" s="117">
        <f t="shared" si="16"/>
        <v>8.6123493879833202E-2</v>
      </c>
      <c r="AO19" s="117">
        <f t="shared" si="17"/>
        <v>9.3088914559006808E-2</v>
      </c>
      <c r="AP19" s="118"/>
    </row>
    <row r="20" spans="2:42" x14ac:dyDescent="0.25">
      <c r="B20" s="1" t="s">
        <v>58</v>
      </c>
      <c r="C20" s="116">
        <v>221.86232000000001</v>
      </c>
      <c r="D20" s="116">
        <v>236.877319</v>
      </c>
      <c r="E20" s="116">
        <v>238.544724</v>
      </c>
      <c r="F20" s="116">
        <v>238.054092</v>
      </c>
      <c r="G20" s="116">
        <v>241.274124</v>
      </c>
      <c r="H20" s="116">
        <v>245.25778199999999</v>
      </c>
      <c r="I20" s="116">
        <v>250.01654099999999</v>
      </c>
      <c r="J20" s="116">
        <v>253.91188</v>
      </c>
      <c r="K20" s="116">
        <v>256.157623</v>
      </c>
      <c r="L20" s="116">
        <v>258.23001099999999</v>
      </c>
      <c r="M20" s="116">
        <v>261.02535999999998</v>
      </c>
      <c r="N20" s="116">
        <v>263.83715799999999</v>
      </c>
      <c r="O20" s="116">
        <v>266.66937300000001</v>
      </c>
      <c r="P20" s="116">
        <v>269.25305200000003</v>
      </c>
      <c r="Q20" s="116">
        <v>271.50622600000003</v>
      </c>
      <c r="R20" s="116">
        <v>273.43695100000002</v>
      </c>
      <c r="S20" s="116">
        <v>275.41937300000001</v>
      </c>
      <c r="T20" s="116">
        <v>277.20443699999998</v>
      </c>
      <c r="U20" s="116">
        <v>278.74331699999999</v>
      </c>
      <c r="W20" s="1" t="s">
        <v>58</v>
      </c>
      <c r="X20" s="117">
        <f t="shared" si="0"/>
        <v>6.7677102628332708E-2</v>
      </c>
      <c r="Y20" s="117">
        <f t="shared" si="1"/>
        <v>7.5192596922271315E-2</v>
      </c>
      <c r="Z20" s="117">
        <f t="shared" si="2"/>
        <v>7.2981171385929633E-2</v>
      </c>
      <c r="AA20" s="117">
        <f t="shared" si="3"/>
        <v>8.7494821112480858E-2</v>
      </c>
      <c r="AB20" s="117">
        <f t="shared" si="4"/>
        <v>0.10545036218858606</v>
      </c>
      <c r="AC20" s="117">
        <f t="shared" si="5"/>
        <v>0.12689951587993842</v>
      </c>
      <c r="AD20" s="117">
        <f t="shared" si="6"/>
        <v>0.14445697674125091</v>
      </c>
      <c r="AE20" s="117">
        <f t="shared" si="7"/>
        <v>0.15457921381152051</v>
      </c>
      <c r="AF20" s="117">
        <f t="shared" si="8"/>
        <v>0.16392008791758772</v>
      </c>
      <c r="AG20" s="117">
        <f t="shared" si="9"/>
        <v>0.17651956402511226</v>
      </c>
      <c r="AH20" s="117">
        <f t="shared" si="10"/>
        <v>0.18919318070774693</v>
      </c>
      <c r="AI20" s="117">
        <f t="shared" si="11"/>
        <v>0.20195882293126655</v>
      </c>
      <c r="AJ20" s="117">
        <f t="shared" si="12"/>
        <v>0.21360423888112234</v>
      </c>
      <c r="AK20" s="117">
        <f t="shared" si="13"/>
        <v>0.22375996969652179</v>
      </c>
      <c r="AL20" s="117">
        <f t="shared" si="14"/>
        <v>0.23246232618499629</v>
      </c>
      <c r="AM20" s="117">
        <f t="shared" si="15"/>
        <v>0.24139769655343013</v>
      </c>
      <c r="AN20" s="117">
        <f t="shared" si="16"/>
        <v>0.24944351523954111</v>
      </c>
      <c r="AO20" s="117">
        <f t="shared" si="17"/>
        <v>0.2563797088212183</v>
      </c>
      <c r="AP20" s="118"/>
    </row>
    <row r="21" spans="2:42" x14ac:dyDescent="0.25">
      <c r="B21" s="1" t="s">
        <v>74</v>
      </c>
      <c r="C21" s="116">
        <v>310.83166499999999</v>
      </c>
      <c r="D21" s="116">
        <v>304.02114899999998</v>
      </c>
      <c r="E21" s="116">
        <v>316.43347199999999</v>
      </c>
      <c r="F21" s="116">
        <v>314.63079800000003</v>
      </c>
      <c r="G21" s="116">
        <v>317.53564499999999</v>
      </c>
      <c r="H21" s="116">
        <v>321.99273699999998</v>
      </c>
      <c r="I21" s="116">
        <v>326.84896900000001</v>
      </c>
      <c r="J21" s="116">
        <v>331.08728000000002</v>
      </c>
      <c r="K21" s="116">
        <v>332.72399899999999</v>
      </c>
      <c r="L21" s="116">
        <v>334.50659200000001</v>
      </c>
      <c r="M21" s="116">
        <v>337.242279</v>
      </c>
      <c r="N21" s="116">
        <v>340.394409</v>
      </c>
      <c r="O21" s="116">
        <v>343.83810399999999</v>
      </c>
      <c r="P21" s="116">
        <v>347.09234600000002</v>
      </c>
      <c r="Q21" s="116">
        <v>350.17941300000001</v>
      </c>
      <c r="R21" s="116">
        <v>353.139679</v>
      </c>
      <c r="S21" s="116">
        <v>356.224243</v>
      </c>
      <c r="T21" s="116">
        <v>359.25305200000003</v>
      </c>
      <c r="U21" s="116">
        <v>361.73739599999999</v>
      </c>
      <c r="W21" s="1" t="s">
        <v>61</v>
      </c>
      <c r="X21" s="117">
        <f t="shared" si="0"/>
        <v>-2.191062483933226E-2</v>
      </c>
      <c r="Y21" s="117">
        <f t="shared" si="1"/>
        <v>1.8021995925029177E-2</v>
      </c>
      <c r="Z21" s="117">
        <f t="shared" si="2"/>
        <v>1.2222477397854759E-2</v>
      </c>
      <c r="AA21" s="117">
        <f t="shared" si="3"/>
        <v>2.1567879836180692E-2</v>
      </c>
      <c r="AB21" s="117">
        <f t="shared" si="4"/>
        <v>3.590712677229968E-2</v>
      </c>
      <c r="AC21" s="117">
        <f t="shared" si="5"/>
        <v>5.1530477115322215E-2</v>
      </c>
      <c r="AD21" s="117">
        <f t="shared" si="6"/>
        <v>6.5165867190525972E-2</v>
      </c>
      <c r="AE21" s="117">
        <f t="shared" si="7"/>
        <v>7.0431479366814154E-2</v>
      </c>
      <c r="AF21" s="117">
        <f t="shared" si="8"/>
        <v>7.6166393793888565E-2</v>
      </c>
      <c r="AG21" s="117">
        <f t="shared" si="9"/>
        <v>8.4967578834029167E-2</v>
      </c>
      <c r="AH21" s="117">
        <f t="shared" si="10"/>
        <v>9.5108534067788852E-2</v>
      </c>
      <c r="AI21" s="117">
        <f t="shared" si="11"/>
        <v>0.10618750506001384</v>
      </c>
      <c r="AJ21" s="117">
        <f t="shared" si="12"/>
        <v>0.11665697251275864</v>
      </c>
      <c r="AK21" s="117">
        <f t="shared" si="13"/>
        <v>0.1265886086605752</v>
      </c>
      <c r="AL21" s="117">
        <f t="shared" si="14"/>
        <v>0.13611230374485817</v>
      </c>
      <c r="AM21" s="117">
        <f t="shared" si="15"/>
        <v>0.14603588730253736</v>
      </c>
      <c r="AN21" s="117">
        <f t="shared" si="16"/>
        <v>0.15578009724331032</v>
      </c>
      <c r="AO21" s="117">
        <f t="shared" si="17"/>
        <v>0.16377266775571275</v>
      </c>
      <c r="AP21" s="118"/>
    </row>
    <row r="22" spans="2:42" x14ac:dyDescent="0.25">
      <c r="B22" s="1" t="s">
        <v>57</v>
      </c>
      <c r="C22" s="116">
        <v>71.026802000000004</v>
      </c>
      <c r="D22" s="116">
        <v>71.911361999999997</v>
      </c>
      <c r="E22" s="116">
        <v>69.236571999999995</v>
      </c>
      <c r="F22" s="116">
        <v>69.478233000000003</v>
      </c>
      <c r="G22" s="116">
        <v>69.805854999999994</v>
      </c>
      <c r="H22" s="116">
        <v>70.420151000000004</v>
      </c>
      <c r="I22" s="116">
        <v>71.069107000000002</v>
      </c>
      <c r="J22" s="116">
        <v>71.607162000000002</v>
      </c>
      <c r="K22" s="116">
        <v>71.851967000000002</v>
      </c>
      <c r="L22" s="116">
        <v>72.160019000000005</v>
      </c>
      <c r="M22" s="116">
        <v>72.640197999999998</v>
      </c>
      <c r="N22" s="116">
        <v>73.133278000000004</v>
      </c>
      <c r="O22" s="116">
        <v>73.658264000000003</v>
      </c>
      <c r="P22" s="116">
        <v>74.150908999999999</v>
      </c>
      <c r="Q22" s="116">
        <v>74.582504</v>
      </c>
      <c r="R22" s="116">
        <v>74.994361999999995</v>
      </c>
      <c r="S22" s="116">
        <v>75.349379999999996</v>
      </c>
      <c r="T22" s="116">
        <v>75.696601999999999</v>
      </c>
      <c r="U22" s="116">
        <v>75.983444000000006</v>
      </c>
      <c r="W22" s="1" t="s">
        <v>57</v>
      </c>
      <c r="X22" s="117">
        <f t="shared" si="0"/>
        <v>1.2453890293413261E-2</v>
      </c>
      <c r="Y22" s="117">
        <f t="shared" si="1"/>
        <v>-2.5204992335147058E-2</v>
      </c>
      <c r="Z22" s="117">
        <f t="shared" si="2"/>
        <v>-2.1802600657706672E-2</v>
      </c>
      <c r="AA22" s="117">
        <f t="shared" si="3"/>
        <v>-1.7189947535579786E-2</v>
      </c>
      <c r="AB22" s="117">
        <f t="shared" si="4"/>
        <v>-8.5411560554281563E-3</v>
      </c>
      <c r="AC22" s="117">
        <f t="shared" si="5"/>
        <v>5.9562022798087533E-4</v>
      </c>
      <c r="AD22" s="117">
        <f t="shared" si="6"/>
        <v>8.171000012079821E-3</v>
      </c>
      <c r="AE22" s="117">
        <f t="shared" si="7"/>
        <v>1.1617656669942633E-2</v>
      </c>
      <c r="AF22" s="117">
        <f t="shared" si="8"/>
        <v>1.595477999980921E-2</v>
      </c>
      <c r="AG22" s="117">
        <f t="shared" si="9"/>
        <v>2.2715312453459369E-2</v>
      </c>
      <c r="AH22" s="117">
        <f t="shared" si="10"/>
        <v>2.9657480566279704E-2</v>
      </c>
      <c r="AI22" s="117">
        <f t="shared" si="11"/>
        <v>3.7048859386911381E-2</v>
      </c>
      <c r="AJ22" s="117">
        <f t="shared" si="12"/>
        <v>4.3984903051104585E-2</v>
      </c>
      <c r="AK22" s="117">
        <f t="shared" si="13"/>
        <v>5.0061412028659324E-2</v>
      </c>
      <c r="AL22" s="117">
        <f t="shared" si="14"/>
        <v>5.5860039988848031E-2</v>
      </c>
      <c r="AM22" s="117">
        <f t="shared" si="15"/>
        <v>6.085840666175546E-2</v>
      </c>
      <c r="AN22" s="117">
        <f t="shared" si="16"/>
        <v>6.5747011951910794E-2</v>
      </c>
      <c r="AO22" s="117">
        <f t="shared" si="17"/>
        <v>6.9785515614232629E-2</v>
      </c>
      <c r="AP22" s="118"/>
    </row>
    <row r="23" spans="2:42" x14ac:dyDescent="0.25">
      <c r="B23" s="1" t="s">
        <v>62</v>
      </c>
      <c r="C23" s="116">
        <v>133.86567700000001</v>
      </c>
      <c r="D23" s="116">
        <v>141.810776</v>
      </c>
      <c r="E23" s="116">
        <v>148.318344</v>
      </c>
      <c r="F23" s="116">
        <v>148.25297499999999</v>
      </c>
      <c r="G23" s="116">
        <v>151.691406</v>
      </c>
      <c r="H23" s="116">
        <v>151.029999</v>
      </c>
      <c r="I23" s="116">
        <v>153.75427199999999</v>
      </c>
      <c r="J23" s="116">
        <v>156.27990700000001</v>
      </c>
      <c r="K23" s="116">
        <v>157.58519000000001</v>
      </c>
      <c r="L23" s="116">
        <v>158.79177899999999</v>
      </c>
      <c r="M23" s="116">
        <v>160.42579699999999</v>
      </c>
      <c r="N23" s="116">
        <v>161.94079600000001</v>
      </c>
      <c r="O23" s="116">
        <v>163.75470000000001</v>
      </c>
      <c r="P23" s="116">
        <v>165.35635400000001</v>
      </c>
      <c r="Q23" s="116">
        <v>167.04553200000001</v>
      </c>
      <c r="R23" s="116">
        <v>168.41023300000001</v>
      </c>
      <c r="S23" s="116">
        <v>169.93279999999999</v>
      </c>
      <c r="T23" s="116">
        <v>171.582932</v>
      </c>
      <c r="U23" s="116">
        <v>173.02087399999999</v>
      </c>
      <c r="W23" s="1" t="s">
        <v>62</v>
      </c>
      <c r="X23" s="117">
        <f t="shared" si="0"/>
        <v>5.9351277923167745E-2</v>
      </c>
      <c r="Y23" s="117">
        <f t="shared" si="1"/>
        <v>0.10796394807012399</v>
      </c>
      <c r="Z23" s="117">
        <f t="shared" si="2"/>
        <v>0.10747563021699724</v>
      </c>
      <c r="AA23" s="117">
        <f t="shared" si="3"/>
        <v>0.13316131064723935</v>
      </c>
      <c r="AB23" s="117">
        <f t="shared" si="4"/>
        <v>0.12822048477743841</v>
      </c>
      <c r="AC23" s="117">
        <f t="shared" si="5"/>
        <v>0.14857128014972787</v>
      </c>
      <c r="AD23" s="117">
        <f t="shared" si="6"/>
        <v>0.16743821495034905</v>
      </c>
      <c r="AE23" s="117">
        <f t="shared" si="7"/>
        <v>0.17718890705643697</v>
      </c>
      <c r="AF23" s="117">
        <f t="shared" si="8"/>
        <v>0.18620233773590811</v>
      </c>
      <c r="AG23" s="117">
        <f t="shared" si="9"/>
        <v>0.19840873773790402</v>
      </c>
      <c r="AH23" s="117">
        <f t="shared" si="10"/>
        <v>0.20972604501152303</v>
      </c>
      <c r="AI23" s="117">
        <f t="shared" si="11"/>
        <v>0.22327622486830601</v>
      </c>
      <c r="AJ23" s="117">
        <f t="shared" si="12"/>
        <v>0.23524086013474532</v>
      </c>
      <c r="AK23" s="117">
        <f t="shared" si="13"/>
        <v>0.24785931497586189</v>
      </c>
      <c r="AL23" s="117">
        <f t="shared" si="14"/>
        <v>0.25805386992514889</v>
      </c>
      <c r="AM23" s="117">
        <f t="shared" si="15"/>
        <v>0.26942771148126332</v>
      </c>
      <c r="AN23" s="117">
        <f t="shared" si="16"/>
        <v>0.28175448587915475</v>
      </c>
      <c r="AO23" s="117">
        <f t="shared" si="17"/>
        <v>0.29249616389718769</v>
      </c>
      <c r="AP23" s="118"/>
    </row>
    <row r="24" spans="2:42" x14ac:dyDescent="0.25">
      <c r="B24" s="1" t="s">
        <v>50</v>
      </c>
      <c r="C24" s="116">
        <v>133.741806</v>
      </c>
      <c r="D24" s="116">
        <v>134.87051400000001</v>
      </c>
      <c r="E24" s="116">
        <v>133.797394</v>
      </c>
      <c r="F24" s="116">
        <v>136.35655199999999</v>
      </c>
      <c r="G24" s="116">
        <v>137.42929100000001</v>
      </c>
      <c r="H24" s="116">
        <v>138.88330099999999</v>
      </c>
      <c r="I24" s="116">
        <v>140.75054900000001</v>
      </c>
      <c r="J24" s="116">
        <v>142.51480100000001</v>
      </c>
      <c r="K24" s="116">
        <v>143.30746500000001</v>
      </c>
      <c r="L24" s="116">
        <v>144.39151000000001</v>
      </c>
      <c r="M24" s="116">
        <v>145.75914</v>
      </c>
      <c r="N24" s="116">
        <v>147.27020300000001</v>
      </c>
      <c r="O24" s="116">
        <v>148.907623</v>
      </c>
      <c r="P24" s="116">
        <v>150.40271000000001</v>
      </c>
      <c r="Q24" s="116">
        <v>151.98585499999999</v>
      </c>
      <c r="R24" s="116">
        <v>153.51599100000001</v>
      </c>
      <c r="S24" s="116">
        <v>155.118225</v>
      </c>
      <c r="T24" s="116">
        <v>156.77148399999999</v>
      </c>
      <c r="U24" s="116">
        <v>158.100662</v>
      </c>
      <c r="W24" s="1" t="s">
        <v>50</v>
      </c>
      <c r="X24" s="117">
        <f t="shared" si="0"/>
        <v>8.4394553487636692E-3</v>
      </c>
      <c r="Y24" s="117">
        <f t="shared" si="1"/>
        <v>4.1563667833233175E-4</v>
      </c>
      <c r="Z24" s="117">
        <f t="shared" si="2"/>
        <v>1.9550700549086253E-2</v>
      </c>
      <c r="AA24" s="117">
        <f t="shared" si="3"/>
        <v>2.757167044686093E-2</v>
      </c>
      <c r="AB24" s="117">
        <f t="shared" si="4"/>
        <v>3.84434392937687E-2</v>
      </c>
      <c r="AC24" s="117">
        <f t="shared" si="5"/>
        <v>5.2405027340516108E-2</v>
      </c>
      <c r="AD24" s="117">
        <f t="shared" si="6"/>
        <v>6.5596504656143306E-2</v>
      </c>
      <c r="AE24" s="117">
        <f t="shared" si="7"/>
        <v>7.1523327567447392E-2</v>
      </c>
      <c r="AF24" s="117">
        <f t="shared" si="8"/>
        <v>7.9628833485320349E-2</v>
      </c>
      <c r="AG24" s="117">
        <f t="shared" si="9"/>
        <v>8.9854730988154996E-2</v>
      </c>
      <c r="AH24" s="117">
        <f t="shared" si="10"/>
        <v>0.10115309045550069</v>
      </c>
      <c r="AI24" s="117">
        <f t="shared" si="11"/>
        <v>0.11339623303725999</v>
      </c>
      <c r="AJ24" s="117">
        <f t="shared" si="12"/>
        <v>0.12457513845745449</v>
      </c>
      <c r="AK24" s="117">
        <f t="shared" si="13"/>
        <v>0.13641246178476152</v>
      </c>
      <c r="AL24" s="117">
        <f t="shared" si="14"/>
        <v>0.14785343185809841</v>
      </c>
      <c r="AM24" s="117">
        <f t="shared" si="15"/>
        <v>0.15983348542489395</v>
      </c>
      <c r="AN24" s="117">
        <f t="shared" si="16"/>
        <v>0.17219505769198284</v>
      </c>
      <c r="AO24" s="117">
        <f t="shared" si="17"/>
        <v>0.18213344599219794</v>
      </c>
      <c r="AP24" s="118"/>
    </row>
    <row r="25" spans="2:42" x14ac:dyDescent="0.25">
      <c r="B25" s="1" t="s">
        <v>52</v>
      </c>
      <c r="C25" s="116">
        <v>259.83770800000002</v>
      </c>
      <c r="D25" s="116">
        <v>256.029449</v>
      </c>
      <c r="E25" s="116">
        <v>274.17794800000001</v>
      </c>
      <c r="F25" s="116">
        <v>270.96762100000001</v>
      </c>
      <c r="G25" s="116">
        <v>275.30001800000002</v>
      </c>
      <c r="H25" s="116">
        <v>275.767944</v>
      </c>
      <c r="I25" s="116">
        <v>278.53259300000002</v>
      </c>
      <c r="J25" s="116">
        <v>281.63870200000002</v>
      </c>
      <c r="K25" s="116">
        <v>282.14642300000003</v>
      </c>
      <c r="L25" s="116">
        <v>283.983093</v>
      </c>
      <c r="M25" s="116">
        <v>285.94525099999998</v>
      </c>
      <c r="N25" s="116">
        <v>287.967285</v>
      </c>
      <c r="O25" s="116">
        <v>290.582764</v>
      </c>
      <c r="P25" s="116">
        <v>293.23577899999998</v>
      </c>
      <c r="Q25" s="116">
        <v>294.92767300000003</v>
      </c>
      <c r="R25" s="116">
        <v>297.105591</v>
      </c>
      <c r="S25" s="116">
        <v>299.43609600000002</v>
      </c>
      <c r="T25" s="116">
        <v>301.83892800000001</v>
      </c>
      <c r="U25" s="116">
        <v>303.74859600000002</v>
      </c>
      <c r="W25" s="1" t="s">
        <v>52</v>
      </c>
      <c r="X25" s="117">
        <f t="shared" si="0"/>
        <v>-1.4656298461499739E-2</v>
      </c>
      <c r="Y25" s="117">
        <f t="shared" si="1"/>
        <v>5.5189218340857549E-2</v>
      </c>
      <c r="Z25" s="117">
        <f t="shared" si="2"/>
        <v>4.2834094734240713E-2</v>
      </c>
      <c r="AA25" s="117">
        <f t="shared" si="3"/>
        <v>5.9507567700681774E-2</v>
      </c>
      <c r="AB25" s="117">
        <f t="shared" si="4"/>
        <v>6.1308407169293533E-2</v>
      </c>
      <c r="AC25" s="117">
        <f t="shared" si="5"/>
        <v>7.1948313983742462E-2</v>
      </c>
      <c r="AD25" s="117">
        <f t="shared" si="6"/>
        <v>8.390234876917857E-2</v>
      </c>
      <c r="AE25" s="117">
        <f t="shared" si="7"/>
        <v>8.5856341528381952E-2</v>
      </c>
      <c r="AF25" s="117">
        <f t="shared" si="8"/>
        <v>9.2924869087899875E-2</v>
      </c>
      <c r="AG25" s="117">
        <f t="shared" si="9"/>
        <v>0.10047634425716212</v>
      </c>
      <c r="AH25" s="117">
        <f t="shared" si="10"/>
        <v>0.10825825557235902</v>
      </c>
      <c r="AI25" s="117">
        <f t="shared" si="11"/>
        <v>0.11832407327115124</v>
      </c>
      <c r="AJ25" s="117">
        <f t="shared" si="12"/>
        <v>0.12853435037227134</v>
      </c>
      <c r="AK25" s="117">
        <f t="shared" si="13"/>
        <v>0.13504569937170174</v>
      </c>
      <c r="AL25" s="117">
        <f t="shared" si="14"/>
        <v>0.1434275390083104</v>
      </c>
      <c r="AM25" s="117">
        <f t="shared" si="15"/>
        <v>0.15239661827682061</v>
      </c>
      <c r="AN25" s="117">
        <f t="shared" si="16"/>
        <v>0.16164405206345189</v>
      </c>
      <c r="AO25" s="117">
        <f t="shared" si="17"/>
        <v>0.16899351652224404</v>
      </c>
      <c r="AP25" s="118"/>
    </row>
    <row r="26" spans="2:42" x14ac:dyDescent="0.25">
      <c r="B26" s="1" t="s">
        <v>75</v>
      </c>
      <c r="C26" s="116">
        <v>265.63568099999998</v>
      </c>
      <c r="D26" s="116">
        <v>265.64395100000002</v>
      </c>
      <c r="E26" s="116">
        <v>253.06797800000001</v>
      </c>
      <c r="F26" s="116">
        <v>253.21159399999999</v>
      </c>
      <c r="G26" s="116">
        <v>256.49655200000001</v>
      </c>
      <c r="H26" s="116">
        <v>258.95330799999999</v>
      </c>
      <c r="I26" s="116">
        <v>262.51205399999998</v>
      </c>
      <c r="J26" s="116">
        <v>265.37124599999999</v>
      </c>
      <c r="K26" s="116">
        <v>266.71667500000001</v>
      </c>
      <c r="L26" s="116">
        <v>268.36669899999998</v>
      </c>
      <c r="M26" s="116">
        <v>270.505402</v>
      </c>
      <c r="N26" s="116">
        <v>272.846924</v>
      </c>
      <c r="O26" s="116">
        <v>275.50680499999999</v>
      </c>
      <c r="P26" s="116">
        <v>277.80407700000001</v>
      </c>
      <c r="Q26" s="116">
        <v>280.091522</v>
      </c>
      <c r="R26" s="116">
        <v>282.20636000000002</v>
      </c>
      <c r="S26" s="116">
        <v>284.28720099999998</v>
      </c>
      <c r="T26" s="116">
        <v>286.522491</v>
      </c>
      <c r="U26" s="116">
        <v>288.18899499999998</v>
      </c>
      <c r="W26" s="1" t="s">
        <v>55</v>
      </c>
      <c r="X26" s="117">
        <f t="shared" si="0"/>
        <v>3.1132865768945805E-5</v>
      </c>
      <c r="Y26" s="117">
        <f t="shared" si="1"/>
        <v>-4.7311802965204652E-2</v>
      </c>
      <c r="Z26" s="117">
        <f t="shared" si="2"/>
        <v>-4.6771152705196939E-2</v>
      </c>
      <c r="AA26" s="117">
        <f t="shared" si="3"/>
        <v>-3.440474926258108E-2</v>
      </c>
      <c r="AB26" s="117">
        <f t="shared" si="4"/>
        <v>-2.5156157391370892E-2</v>
      </c>
      <c r="AC26" s="117">
        <f t="shared" si="5"/>
        <v>-1.1759064099525096E-2</v>
      </c>
      <c r="AD26" s="117">
        <f t="shared" si="6"/>
        <v>-9.9547997093052398E-4</v>
      </c>
      <c r="AE26" s="117">
        <f t="shared" si="7"/>
        <v>4.069460834216887E-3</v>
      </c>
      <c r="AF26" s="117">
        <f t="shared" si="8"/>
        <v>1.0281066119276261E-2</v>
      </c>
      <c r="AG26" s="117">
        <f t="shared" si="9"/>
        <v>1.8332330136025865E-2</v>
      </c>
      <c r="AH26" s="117">
        <f t="shared" si="10"/>
        <v>2.7147117333232051E-2</v>
      </c>
      <c r="AI26" s="117">
        <f t="shared" si="11"/>
        <v>3.7160384338578378E-2</v>
      </c>
      <c r="AJ26" s="117">
        <f t="shared" si="12"/>
        <v>4.5808589998871607E-2</v>
      </c>
      <c r="AK26" s="117">
        <f t="shared" si="13"/>
        <v>5.4419801382028954E-2</v>
      </c>
      <c r="AL26" s="117">
        <f t="shared" si="14"/>
        <v>6.2381224305480432E-2</v>
      </c>
      <c r="AM26" s="117">
        <f t="shared" si="15"/>
        <v>7.0214663669373678E-2</v>
      </c>
      <c r="AN26" s="117">
        <f t="shared" si="16"/>
        <v>7.8629534712243876E-2</v>
      </c>
      <c r="AO26" s="117">
        <f t="shared" si="17"/>
        <v>8.490317985557061E-2</v>
      </c>
      <c r="AP26" s="118"/>
    </row>
    <row r="27" spans="2:42" x14ac:dyDescent="0.25">
      <c r="B27" s="1" t="s">
        <v>53</v>
      </c>
      <c r="C27" s="116">
        <v>70.401511999999997</v>
      </c>
      <c r="D27" s="116">
        <v>72.800415000000001</v>
      </c>
      <c r="E27" s="116">
        <v>65.973831000000004</v>
      </c>
      <c r="F27" s="116">
        <v>67.215027000000006</v>
      </c>
      <c r="G27" s="116">
        <v>67.855452999999997</v>
      </c>
      <c r="H27" s="116">
        <v>68.838370999999995</v>
      </c>
      <c r="I27" s="116">
        <v>69.932013999999995</v>
      </c>
      <c r="J27" s="116">
        <v>70.868140999999994</v>
      </c>
      <c r="K27" s="116">
        <v>71.411865000000006</v>
      </c>
      <c r="L27" s="116">
        <v>72.031845000000004</v>
      </c>
      <c r="M27" s="116">
        <v>72.788261000000006</v>
      </c>
      <c r="N27" s="116">
        <v>73.574630999999997</v>
      </c>
      <c r="O27" s="116">
        <v>74.418503000000001</v>
      </c>
      <c r="P27" s="116">
        <v>75.184714999999997</v>
      </c>
      <c r="Q27" s="116">
        <v>75.980620999999999</v>
      </c>
      <c r="R27" s="116">
        <v>76.719116</v>
      </c>
      <c r="S27" s="116">
        <v>77.477890000000002</v>
      </c>
      <c r="T27" s="116">
        <v>78.233161999999993</v>
      </c>
      <c r="U27" s="116">
        <v>78.840698000000003</v>
      </c>
      <c r="W27" s="1" t="s">
        <v>53</v>
      </c>
      <c r="X27" s="117">
        <f t="shared" si="0"/>
        <v>3.4074594875178388E-2</v>
      </c>
      <c r="Y27" s="117">
        <f t="shared" si="1"/>
        <v>-6.2891845277413871E-2</v>
      </c>
      <c r="Z27" s="117">
        <f t="shared" si="2"/>
        <v>-4.5261598927022861E-2</v>
      </c>
      <c r="AA27" s="117">
        <f t="shared" si="3"/>
        <v>-3.6164834073450058E-2</v>
      </c>
      <c r="AB27" s="117">
        <f t="shared" si="4"/>
        <v>-2.2203230521526285E-2</v>
      </c>
      <c r="AC27" s="117">
        <f t="shared" si="5"/>
        <v>-6.668862452840485E-3</v>
      </c>
      <c r="AD27" s="117">
        <f t="shared" si="6"/>
        <v>6.6281104871723784E-3</v>
      </c>
      <c r="AE27" s="117">
        <f t="shared" si="7"/>
        <v>1.4351296886919274E-2</v>
      </c>
      <c r="AF27" s="117">
        <f t="shared" si="8"/>
        <v>2.3157641841555998E-2</v>
      </c>
      <c r="AG27" s="117">
        <f t="shared" si="9"/>
        <v>3.390195653752448E-2</v>
      </c>
      <c r="AH27" s="117">
        <f t="shared" si="10"/>
        <v>4.5071745050021095E-2</v>
      </c>
      <c r="AI27" s="117">
        <f t="shared" si="11"/>
        <v>5.7058305793205255E-2</v>
      </c>
      <c r="AJ27" s="117">
        <f t="shared" si="12"/>
        <v>6.7941765227996775E-2</v>
      </c>
      <c r="AK27" s="117">
        <f t="shared" si="13"/>
        <v>7.9247005376816393E-2</v>
      </c>
      <c r="AL27" s="117">
        <f t="shared" si="14"/>
        <v>8.9736765880823688E-2</v>
      </c>
      <c r="AM27" s="117">
        <f t="shared" si="15"/>
        <v>0.10051457417562282</v>
      </c>
      <c r="AN27" s="117">
        <f t="shared" si="16"/>
        <v>0.11124263922058941</v>
      </c>
      <c r="AO27" s="117">
        <f t="shared" si="17"/>
        <v>0.11987222660786045</v>
      </c>
      <c r="AP27" s="118"/>
    </row>
    <row r="30" spans="2:42" x14ac:dyDescent="0.25">
      <c r="B30" s="114" t="s">
        <v>164</v>
      </c>
      <c r="C30" s="115">
        <v>2012</v>
      </c>
      <c r="D30" s="115">
        <v>2013</v>
      </c>
      <c r="E30" s="115">
        <v>2014</v>
      </c>
      <c r="F30" s="115">
        <v>2015</v>
      </c>
      <c r="G30" s="115">
        <v>2016</v>
      </c>
      <c r="H30" s="115">
        <v>2017</v>
      </c>
      <c r="I30" s="115">
        <v>2018</v>
      </c>
      <c r="J30" s="115">
        <v>2019</v>
      </c>
      <c r="K30" s="115">
        <v>2020</v>
      </c>
      <c r="L30" s="115">
        <v>2021</v>
      </c>
      <c r="M30" s="115">
        <v>2022</v>
      </c>
      <c r="N30" s="115">
        <v>2023</v>
      </c>
      <c r="O30" s="115">
        <v>2024</v>
      </c>
      <c r="P30" s="115">
        <v>2025</v>
      </c>
      <c r="Q30" s="115">
        <v>2026</v>
      </c>
      <c r="R30" s="115">
        <v>2027</v>
      </c>
      <c r="S30" s="115">
        <v>2028</v>
      </c>
      <c r="T30" s="115">
        <v>2029</v>
      </c>
      <c r="U30" s="115">
        <v>2030</v>
      </c>
      <c r="W30" s="114" t="s">
        <v>161</v>
      </c>
      <c r="X30" s="115">
        <v>2013</v>
      </c>
      <c r="Y30" s="115">
        <v>2014</v>
      </c>
      <c r="Z30" s="115">
        <v>2015</v>
      </c>
      <c r="AA30" s="115">
        <v>2016</v>
      </c>
      <c r="AB30" s="115">
        <v>2017</v>
      </c>
      <c r="AC30" s="115">
        <v>2018</v>
      </c>
      <c r="AD30" s="115">
        <v>2019</v>
      </c>
      <c r="AE30" s="115">
        <v>2020</v>
      </c>
      <c r="AF30" s="115">
        <v>2021</v>
      </c>
      <c r="AG30" s="115">
        <v>2022</v>
      </c>
      <c r="AH30" s="115">
        <v>2023</v>
      </c>
      <c r="AI30" s="115">
        <v>2024</v>
      </c>
      <c r="AJ30" s="115">
        <v>2025</v>
      </c>
      <c r="AK30" s="115">
        <v>2026</v>
      </c>
      <c r="AL30" s="115">
        <v>2027</v>
      </c>
      <c r="AM30" s="115">
        <v>2028</v>
      </c>
      <c r="AN30" s="115">
        <v>2029</v>
      </c>
      <c r="AO30" s="115">
        <v>2030</v>
      </c>
    </row>
    <row r="31" spans="2:42" x14ac:dyDescent="0.25">
      <c r="B31" s="1" t="s">
        <v>131</v>
      </c>
      <c r="C31" s="20">
        <f>SUM(C6:C10,C14:C23)</f>
        <v>2880.5883030000005</v>
      </c>
      <c r="D31" s="20">
        <f t="shared" ref="D31:U31" si="19">SUM(D6:D10,D14:D23)</f>
        <v>2892.4469340000001</v>
      </c>
      <c r="E31" s="20">
        <f t="shared" si="19"/>
        <v>2939.5941879999996</v>
      </c>
      <c r="F31" s="20">
        <f t="shared" si="19"/>
        <v>2943.7791199999997</v>
      </c>
      <c r="G31" s="20">
        <f t="shared" si="19"/>
        <v>2972.1460420000003</v>
      </c>
      <c r="H31" s="20">
        <f t="shared" si="19"/>
        <v>2999.791463</v>
      </c>
      <c r="I31" s="20">
        <f t="shared" si="19"/>
        <v>3035.4043079999997</v>
      </c>
      <c r="J31" s="20">
        <f t="shared" si="19"/>
        <v>3063.0033060000001</v>
      </c>
      <c r="K31" s="20">
        <f t="shared" si="19"/>
        <v>3068.6059109999997</v>
      </c>
      <c r="L31" s="20">
        <f t="shared" si="19"/>
        <v>3076.5891670000005</v>
      </c>
      <c r="M31" s="20">
        <f t="shared" si="19"/>
        <v>3094.3915120000001</v>
      </c>
      <c r="N31" s="20">
        <f t="shared" si="19"/>
        <v>3114.0535979999995</v>
      </c>
      <c r="O31" s="20">
        <f t="shared" si="19"/>
        <v>3137.4890600000003</v>
      </c>
      <c r="P31" s="20">
        <f t="shared" si="19"/>
        <v>3158.2302409999998</v>
      </c>
      <c r="Q31" s="20">
        <f t="shared" si="19"/>
        <v>3177.5981120000001</v>
      </c>
      <c r="R31" s="20">
        <f t="shared" si="19"/>
        <v>3195.5735770000001</v>
      </c>
      <c r="S31" s="20">
        <f t="shared" si="19"/>
        <v>3213.0689140000004</v>
      </c>
      <c r="T31" s="20">
        <f t="shared" si="19"/>
        <v>3230.9634479999995</v>
      </c>
      <c r="U31" s="20">
        <f t="shared" si="19"/>
        <v>3245.0671299999999</v>
      </c>
      <c r="W31" s="1" t="s">
        <v>131</v>
      </c>
      <c r="X31" s="117">
        <f t="shared" ref="X31:AG33" si="20">D31/$C31-1</f>
        <v>4.116739274282688E-3</v>
      </c>
      <c r="Y31" s="117">
        <f t="shared" si="20"/>
        <v>2.048397021488535E-2</v>
      </c>
      <c r="Z31" s="117">
        <f t="shared" si="20"/>
        <v>2.193677483665013E-2</v>
      </c>
      <c r="AA31" s="117">
        <f t="shared" si="20"/>
        <v>3.1784388940497621E-2</v>
      </c>
      <c r="AB31" s="117">
        <f t="shared" si="20"/>
        <v>4.1381533027768924E-2</v>
      </c>
      <c r="AC31" s="117">
        <f t="shared" si="20"/>
        <v>5.3744578785786645E-2</v>
      </c>
      <c r="AD31" s="117">
        <f t="shared" si="20"/>
        <v>6.3325607067841849E-2</v>
      </c>
      <c r="AE31" s="119">
        <f t="shared" si="20"/>
        <v>6.5270558727252848E-2</v>
      </c>
      <c r="AF31" s="119">
        <f t="shared" si="20"/>
        <v>6.8041956497523204E-2</v>
      </c>
      <c r="AG31" s="119">
        <f t="shared" si="20"/>
        <v>7.4222063867069643E-2</v>
      </c>
      <c r="AH31" s="119">
        <f t="shared" ref="AH31:AO33" si="21">N31/$C31-1</f>
        <v>8.1047782759117615E-2</v>
      </c>
      <c r="AI31" s="119">
        <f t="shared" si="21"/>
        <v>8.9183434068814904E-2</v>
      </c>
      <c r="AJ31" s="119">
        <f t="shared" si="21"/>
        <v>9.6383762202619572E-2</v>
      </c>
      <c r="AK31" s="119">
        <f t="shared" si="21"/>
        <v>0.10310734397229826</v>
      </c>
      <c r="AL31" s="119">
        <f t="shared" si="21"/>
        <v>0.10934755017645426</v>
      </c>
      <c r="AM31" s="119">
        <f t="shared" si="21"/>
        <v>0.11542107931693568</v>
      </c>
      <c r="AN31" s="119">
        <f t="shared" si="21"/>
        <v>0.12163319021850483</v>
      </c>
      <c r="AO31" s="119">
        <f t="shared" si="21"/>
        <v>0.12652930188614997</v>
      </c>
      <c r="AP31" s="117"/>
    </row>
    <row r="32" spans="2:42" x14ac:dyDescent="0.25">
      <c r="B32" s="1" t="s">
        <v>132</v>
      </c>
      <c r="C32" s="20">
        <f>SUM(C24:C27)</f>
        <v>729.61670700000002</v>
      </c>
      <c r="D32" s="20">
        <f t="shared" ref="D32:U32" si="22">SUM(D24:D27)</f>
        <v>729.34432900000013</v>
      </c>
      <c r="E32" s="20">
        <f t="shared" si="22"/>
        <v>727.01715100000001</v>
      </c>
      <c r="F32" s="20">
        <f t="shared" si="22"/>
        <v>727.75079399999993</v>
      </c>
      <c r="G32" s="20">
        <f t="shared" si="22"/>
        <v>737.08131400000013</v>
      </c>
      <c r="H32" s="20">
        <f t="shared" si="22"/>
        <v>742.44292399999995</v>
      </c>
      <c r="I32" s="20">
        <f t="shared" si="22"/>
        <v>751.72721000000001</v>
      </c>
      <c r="J32" s="20">
        <f t="shared" si="22"/>
        <v>760.39288999999997</v>
      </c>
      <c r="K32" s="20">
        <f t="shared" si="22"/>
        <v>763.58242800000005</v>
      </c>
      <c r="L32" s="20">
        <f t="shared" si="22"/>
        <v>768.77314699999988</v>
      </c>
      <c r="M32" s="20">
        <f t="shared" si="22"/>
        <v>774.99805400000002</v>
      </c>
      <c r="N32" s="20">
        <f t="shared" si="22"/>
        <v>781.65904299999988</v>
      </c>
      <c r="O32" s="20">
        <f t="shared" si="22"/>
        <v>789.41569500000003</v>
      </c>
      <c r="P32" s="20">
        <f t="shared" si="22"/>
        <v>796.62728099999993</v>
      </c>
      <c r="Q32" s="20">
        <f t="shared" si="22"/>
        <v>802.98567100000002</v>
      </c>
      <c r="R32" s="20">
        <f t="shared" si="22"/>
        <v>809.54705799999999</v>
      </c>
      <c r="S32" s="20">
        <f t="shared" si="22"/>
        <v>816.31941199999994</v>
      </c>
      <c r="T32" s="20">
        <f t="shared" si="22"/>
        <v>823.36606499999994</v>
      </c>
      <c r="U32" s="20">
        <f t="shared" si="22"/>
        <v>828.87895099999992</v>
      </c>
      <c r="W32" s="1" t="s">
        <v>132</v>
      </c>
      <c r="X32" s="117">
        <f t="shared" si="20"/>
        <v>-3.7331656112948863E-4</v>
      </c>
      <c r="Y32" s="117">
        <f t="shared" si="20"/>
        <v>-3.5629063521430693E-3</v>
      </c>
      <c r="Z32" s="117">
        <f t="shared" si="20"/>
        <v>-2.5573879848123093E-3</v>
      </c>
      <c r="AA32" s="117">
        <f t="shared" si="20"/>
        <v>1.0230860845679812E-2</v>
      </c>
      <c r="AB32" s="117">
        <f t="shared" si="20"/>
        <v>1.7579390489477875E-2</v>
      </c>
      <c r="AC32" s="117">
        <f t="shared" si="20"/>
        <v>3.0304271801714577E-2</v>
      </c>
      <c r="AD32" s="117">
        <f t="shared" si="20"/>
        <v>4.2181302462965586E-2</v>
      </c>
      <c r="AE32" s="119">
        <f t="shared" si="20"/>
        <v>4.6552827908311611E-2</v>
      </c>
      <c r="AF32" s="119">
        <f t="shared" si="20"/>
        <v>5.3667137312413349E-2</v>
      </c>
      <c r="AG32" s="119">
        <f t="shared" si="20"/>
        <v>6.2198886846487778E-2</v>
      </c>
      <c r="AH32" s="119">
        <f t="shared" si="21"/>
        <v>7.1328322803879907E-2</v>
      </c>
      <c r="AI32" s="119">
        <f t="shared" si="21"/>
        <v>8.1959455459673203E-2</v>
      </c>
      <c r="AJ32" s="119">
        <f t="shared" si="21"/>
        <v>9.1843530112585503E-2</v>
      </c>
      <c r="AK32" s="119">
        <f t="shared" si="21"/>
        <v>0.10055822913057288</v>
      </c>
      <c r="AL32" s="119">
        <f t="shared" si="21"/>
        <v>0.10955115231482759</v>
      </c>
      <c r="AM32" s="119">
        <f t="shared" si="21"/>
        <v>0.11883322320907319</v>
      </c>
      <c r="AN32" s="119">
        <f t="shared" si="21"/>
        <v>0.12849124355371955</v>
      </c>
      <c r="AO32" s="119">
        <f t="shared" si="21"/>
        <v>0.13604710945852827</v>
      </c>
      <c r="AP32" s="117"/>
    </row>
    <row r="33" spans="2:42" x14ac:dyDescent="0.25">
      <c r="B33" s="1" t="s">
        <v>41</v>
      </c>
      <c r="C33" s="20">
        <f>C5</f>
        <v>332.97683699999999</v>
      </c>
      <c r="D33" s="20">
        <f t="shared" ref="D33:U33" si="23">D5</f>
        <v>338.02242999999999</v>
      </c>
      <c r="E33" s="20">
        <f t="shared" si="23"/>
        <v>333.66601600000001</v>
      </c>
      <c r="F33" s="20">
        <f t="shared" si="23"/>
        <v>334.89321899999999</v>
      </c>
      <c r="G33" s="20">
        <f t="shared" si="23"/>
        <v>341.33200099999999</v>
      </c>
      <c r="H33" s="20">
        <f t="shared" si="23"/>
        <v>340.61673000000002</v>
      </c>
      <c r="I33" s="20">
        <f t="shared" si="23"/>
        <v>346.579071</v>
      </c>
      <c r="J33" s="20">
        <f t="shared" si="23"/>
        <v>352.25778200000002</v>
      </c>
      <c r="K33" s="20">
        <f t="shared" si="23"/>
        <v>355.07733200000001</v>
      </c>
      <c r="L33" s="20">
        <f t="shared" si="23"/>
        <v>357.80035400000003</v>
      </c>
      <c r="M33" s="20">
        <f t="shared" si="23"/>
        <v>361.45562699999999</v>
      </c>
      <c r="N33" s="20">
        <f t="shared" si="23"/>
        <v>364.77771000000001</v>
      </c>
      <c r="O33" s="20">
        <f t="shared" si="23"/>
        <v>368.851471</v>
      </c>
      <c r="P33" s="20">
        <f t="shared" si="23"/>
        <v>372.48184199999997</v>
      </c>
      <c r="Q33" s="20">
        <f t="shared" si="23"/>
        <v>376.39141799999999</v>
      </c>
      <c r="R33" s="20">
        <f t="shared" si="23"/>
        <v>379.62265000000002</v>
      </c>
      <c r="S33" s="20">
        <f t="shared" si="23"/>
        <v>383.25060999999999</v>
      </c>
      <c r="T33" s="20">
        <f t="shared" si="23"/>
        <v>387.26864599999999</v>
      </c>
      <c r="U33" s="20">
        <f t="shared" si="23"/>
        <v>390.81063799999998</v>
      </c>
      <c r="W33" s="1" t="s">
        <v>41</v>
      </c>
      <c r="X33" s="117">
        <f t="shared" si="20"/>
        <v>1.5152984950721926E-2</v>
      </c>
      <c r="Y33" s="117">
        <f t="shared" si="20"/>
        <v>2.069750575473206E-3</v>
      </c>
      <c r="Z33" s="117">
        <f t="shared" si="20"/>
        <v>5.7553012313587004E-3</v>
      </c>
      <c r="AA33" s="117">
        <f t="shared" si="20"/>
        <v>2.5092327968746941E-2</v>
      </c>
      <c r="AB33" s="117">
        <f t="shared" si="20"/>
        <v>2.2944217588324323E-2</v>
      </c>
      <c r="AC33" s="117">
        <f t="shared" si="20"/>
        <v>4.0850391043867118E-2</v>
      </c>
      <c r="AD33" s="117">
        <f t="shared" si="20"/>
        <v>5.7904763507619084E-2</v>
      </c>
      <c r="AE33" s="119">
        <f t="shared" si="20"/>
        <v>6.6372469626168051E-2</v>
      </c>
      <c r="AF33" s="119">
        <f t="shared" si="20"/>
        <v>7.4550281706231791E-2</v>
      </c>
      <c r="AG33" s="119">
        <f t="shared" si="20"/>
        <v>8.5527841085234479E-2</v>
      </c>
      <c r="AH33" s="119">
        <f t="shared" si="21"/>
        <v>9.5504760290578528E-2</v>
      </c>
      <c r="AI33" s="119">
        <f t="shared" si="21"/>
        <v>0.10773912781206474</v>
      </c>
      <c r="AJ33" s="119">
        <f t="shared" si="21"/>
        <v>0.11864190120828133</v>
      </c>
      <c r="AK33" s="119">
        <f t="shared" si="21"/>
        <v>0.13038318638362223</v>
      </c>
      <c r="AL33" s="119">
        <f t="shared" si="21"/>
        <v>0.14008726078444922</v>
      </c>
      <c r="AM33" s="119">
        <f t="shared" si="21"/>
        <v>0.15098279343677001</v>
      </c>
      <c r="AN33" s="119">
        <f t="shared" si="21"/>
        <v>0.16304980697501192</v>
      </c>
      <c r="AO33" s="119">
        <f t="shared" si="21"/>
        <v>0.17368715950653346</v>
      </c>
      <c r="AP33" s="117"/>
    </row>
    <row r="34" spans="2:42" x14ac:dyDescent="0.25">
      <c r="W34" s="3"/>
    </row>
    <row r="35" spans="2:42" x14ac:dyDescent="0.25">
      <c r="W35" s="3"/>
    </row>
    <row r="36" spans="2:42" x14ac:dyDescent="0.25">
      <c r="W36" s="3"/>
      <c r="AE36" s="28">
        <v>7.4222063867069643E-2</v>
      </c>
      <c r="AF36" s="28">
        <v>6.2198886846487778E-2</v>
      </c>
      <c r="AG36" s="28">
        <v>8.5527841085234479E-2</v>
      </c>
    </row>
    <row r="37" spans="2:42" x14ac:dyDescent="0.25">
      <c r="W37" s="3"/>
      <c r="AE37" s="28">
        <v>8.1047782759117615E-2</v>
      </c>
      <c r="AF37" s="28">
        <v>7.1328322803879907E-2</v>
      </c>
      <c r="AG37" s="28">
        <v>9.5504760290578528E-2</v>
      </c>
    </row>
    <row r="38" spans="2:42" x14ac:dyDescent="0.25">
      <c r="C38" s="9"/>
      <c r="D38" s="9"/>
      <c r="E38" s="9"/>
      <c r="F38" s="9"/>
      <c r="G38" s="9"/>
      <c r="H38" s="9"/>
      <c r="I38" s="9"/>
      <c r="J38" s="9"/>
      <c r="K38" s="9"/>
      <c r="L38" s="9"/>
      <c r="W38" s="3"/>
      <c r="AE38" s="28">
        <v>8.9183434068814904E-2</v>
      </c>
      <c r="AF38" s="28">
        <v>8.1959455459673203E-2</v>
      </c>
      <c r="AG38" s="28">
        <v>0.10773912781206474</v>
      </c>
    </row>
    <row r="39" spans="2:42" x14ac:dyDescent="0.25">
      <c r="C39" s="9"/>
      <c r="D39" s="9"/>
      <c r="E39" s="9"/>
      <c r="F39" s="9"/>
      <c r="G39" s="9"/>
      <c r="H39" s="9"/>
      <c r="I39" s="9"/>
      <c r="J39" s="9"/>
      <c r="K39" s="9"/>
      <c r="L39" s="9"/>
      <c r="W39" s="3"/>
      <c r="AE39" s="28">
        <v>9.6383762202619572E-2</v>
      </c>
      <c r="AF39" s="28">
        <v>9.1843530112585503E-2</v>
      </c>
      <c r="AG39" s="28">
        <v>0.11864190120828133</v>
      </c>
    </row>
    <row r="40" spans="2:42" x14ac:dyDescent="0.25">
      <c r="C40" s="9"/>
      <c r="D40" s="9"/>
      <c r="E40" s="9"/>
      <c r="F40" s="9"/>
      <c r="G40" s="9"/>
      <c r="H40" s="9"/>
      <c r="I40" s="9"/>
      <c r="J40" s="9"/>
      <c r="K40" s="9"/>
      <c r="L40" s="9"/>
      <c r="W40" s="3"/>
      <c r="AE40" s="28">
        <v>0.10310734397229826</v>
      </c>
      <c r="AF40" s="28">
        <v>0.10055822913057288</v>
      </c>
      <c r="AG40" s="28">
        <v>0.13038318638362223</v>
      </c>
    </row>
    <row r="41" spans="2:42" x14ac:dyDescent="0.25">
      <c r="W41" s="3"/>
      <c r="AE41" s="28">
        <v>0.10934755017645426</v>
      </c>
      <c r="AF41" s="28">
        <v>0.10955115231482759</v>
      </c>
      <c r="AG41" s="28">
        <v>0.14008726078444922</v>
      </c>
    </row>
    <row r="42" spans="2:42" x14ac:dyDescent="0.25">
      <c r="W42" s="3"/>
      <c r="AE42" s="28">
        <v>0.11542107931693568</v>
      </c>
      <c r="AF42" s="28">
        <v>0.11883322320907319</v>
      </c>
      <c r="AG42" s="28">
        <v>0.15098279343677001</v>
      </c>
    </row>
    <row r="43" spans="2:42" x14ac:dyDescent="0.25">
      <c r="W43" s="3"/>
      <c r="AE43" s="28">
        <v>0.12163319021850483</v>
      </c>
      <c r="AF43" s="28">
        <v>0.12849124355371955</v>
      </c>
      <c r="AG43" s="28">
        <v>0.16304980697501192</v>
      </c>
    </row>
    <row r="44" spans="2:42" x14ac:dyDescent="0.25">
      <c r="D44" s="9"/>
      <c r="E44" s="9"/>
      <c r="F44" s="9"/>
      <c r="W44" s="3"/>
      <c r="AE44" s="28">
        <v>0.12652930188614997</v>
      </c>
      <c r="AF44" s="28">
        <v>0.13604710945852827</v>
      </c>
      <c r="AG44" s="28">
        <v>0.17368715950653346</v>
      </c>
    </row>
    <row r="45" spans="2:42" x14ac:dyDescent="0.25">
      <c r="D45" s="9"/>
      <c r="E45" s="9"/>
      <c r="F45" s="9"/>
      <c r="W45" s="3"/>
      <c r="AE45" s="28">
        <v>0.12163319021850483</v>
      </c>
      <c r="AF45" s="28">
        <v>0.12849124355371955</v>
      </c>
      <c r="AG45" s="28">
        <v>0.16304980697501192</v>
      </c>
    </row>
    <row r="46" spans="2:42" x14ac:dyDescent="0.25">
      <c r="D46" s="9"/>
      <c r="E46" s="9"/>
      <c r="F46" s="9"/>
      <c r="W46" s="3"/>
      <c r="AE46" s="28">
        <v>0.12652930188614997</v>
      </c>
      <c r="AF46" s="28">
        <v>0.13604710945852827</v>
      </c>
      <c r="AG46" s="28">
        <v>0.17368715950653346</v>
      </c>
    </row>
    <row r="47" spans="2:42" x14ac:dyDescent="0.25">
      <c r="D47" s="9"/>
      <c r="E47" s="9"/>
      <c r="F47" s="9"/>
      <c r="W47" s="3"/>
    </row>
    <row r="48" spans="2:42" x14ac:dyDescent="0.25">
      <c r="D48" s="9"/>
      <c r="E48" s="9"/>
      <c r="F48" s="9"/>
      <c r="W48" s="3"/>
    </row>
    <row r="49" spans="4:23" x14ac:dyDescent="0.25">
      <c r="D49" s="9"/>
      <c r="E49" s="9"/>
      <c r="F49" s="9"/>
      <c r="W49" s="3"/>
    </row>
    <row r="50" spans="4:23" x14ac:dyDescent="0.25">
      <c r="D50" s="9"/>
      <c r="E50" s="9"/>
      <c r="F50" s="9"/>
      <c r="W50" s="3"/>
    </row>
    <row r="51" spans="4:23" x14ac:dyDescent="0.25">
      <c r="D51" s="9"/>
      <c r="E51" s="9"/>
      <c r="F51" s="9"/>
      <c r="W51" s="3"/>
    </row>
    <row r="52" spans="4:23" x14ac:dyDescent="0.25">
      <c r="D52" s="9"/>
      <c r="E52" s="9"/>
      <c r="F52" s="9"/>
      <c r="W52" s="3"/>
    </row>
    <row r="53" spans="4:23" x14ac:dyDescent="0.25">
      <c r="D53" s="9"/>
      <c r="E53" s="9"/>
      <c r="F53" s="9"/>
      <c r="W53" s="3"/>
    </row>
    <row r="54" spans="4:23" x14ac:dyDescent="0.25">
      <c r="W54" s="3"/>
    </row>
    <row r="55" spans="4:23" x14ac:dyDescent="0.25">
      <c r="W55" s="3"/>
    </row>
    <row r="56" spans="4:23" x14ac:dyDescent="0.25">
      <c r="W56" s="3"/>
    </row>
    <row r="57" spans="4:23" x14ac:dyDescent="0.25">
      <c r="W57" s="3"/>
    </row>
    <row r="58" spans="4:23" x14ac:dyDescent="0.25">
      <c r="W58" s="3"/>
    </row>
    <row r="59" spans="4:23" x14ac:dyDescent="0.25">
      <c r="W59" s="3"/>
    </row>
    <row r="60" spans="4:23" x14ac:dyDescent="0.25">
      <c r="W60" s="3"/>
    </row>
    <row r="61" spans="4:23" x14ac:dyDescent="0.25">
      <c r="W61" s="3"/>
    </row>
    <row r="62" spans="4:23" x14ac:dyDescent="0.25">
      <c r="W62" s="3"/>
    </row>
    <row r="63" spans="4:23" x14ac:dyDescent="0.25">
      <c r="W63" s="3"/>
    </row>
    <row r="64" spans="4:23" x14ac:dyDescent="0.25">
      <c r="W64" s="3"/>
    </row>
    <row r="65" spans="23:23" x14ac:dyDescent="0.25">
      <c r="W65" s="3"/>
    </row>
    <row r="66" spans="23:23" x14ac:dyDescent="0.25">
      <c r="W66" s="3"/>
    </row>
    <row r="67" spans="23:23" x14ac:dyDescent="0.25">
      <c r="W67" s="3"/>
    </row>
    <row r="68" spans="23:23" x14ac:dyDescent="0.25">
      <c r="W68" s="3"/>
    </row>
    <row r="69" spans="23:23" x14ac:dyDescent="0.25">
      <c r="W69" s="3"/>
    </row>
    <row r="70" spans="23:23" x14ac:dyDescent="0.25">
      <c r="W70" s="3"/>
    </row>
    <row r="71" spans="23:23" x14ac:dyDescent="0.25">
      <c r="W71" s="3"/>
    </row>
    <row r="72" spans="23:23" x14ac:dyDescent="0.25">
      <c r="W72" s="3"/>
    </row>
    <row r="73" spans="23:23" x14ac:dyDescent="0.25">
      <c r="W73" s="3"/>
    </row>
    <row r="74" spans="23:23" x14ac:dyDescent="0.25">
      <c r="W74" s="3"/>
    </row>
    <row r="75" spans="23:23" x14ac:dyDescent="0.25">
      <c r="W75" s="3"/>
    </row>
    <row r="76" spans="23:23" x14ac:dyDescent="0.25">
      <c r="W76" s="3"/>
    </row>
    <row r="77" spans="23:23" x14ac:dyDescent="0.25">
      <c r="W77" s="3"/>
    </row>
    <row r="78" spans="23:23" x14ac:dyDescent="0.25">
      <c r="W78" s="3"/>
    </row>
    <row r="79" spans="23:23" x14ac:dyDescent="0.25">
      <c r="W79" s="3"/>
    </row>
    <row r="80" spans="23:23" x14ac:dyDescent="0.25">
      <c r="W80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workbookViewId="0">
      <selection activeCell="B3" sqref="B3:C3"/>
    </sheetView>
  </sheetViews>
  <sheetFormatPr defaultRowHeight="15" x14ac:dyDescent="0.25"/>
  <cols>
    <col min="2" max="3" width="13.7109375" customWidth="1"/>
    <col min="4" max="4" width="25.7109375" bestFit="1" customWidth="1"/>
    <col min="5" max="5" width="23" bestFit="1" customWidth="1"/>
    <col min="6" max="6" width="13.7109375" customWidth="1"/>
  </cols>
  <sheetData>
    <row r="1" spans="2:6" ht="15.75" thickBot="1" x14ac:dyDescent="0.3"/>
    <row r="2" spans="2:6" x14ac:dyDescent="0.25">
      <c r="B2" s="182" t="s">
        <v>168</v>
      </c>
      <c r="C2" s="183"/>
      <c r="D2" s="183"/>
      <c r="E2" s="183"/>
      <c r="F2" s="184"/>
    </row>
    <row r="3" spans="2:6" ht="15.75" thickBot="1" x14ac:dyDescent="0.3">
      <c r="B3" s="180" t="s">
        <v>0</v>
      </c>
      <c r="C3" s="181"/>
      <c r="D3" s="13" t="s">
        <v>152</v>
      </c>
      <c r="E3" s="13" t="s">
        <v>167</v>
      </c>
      <c r="F3" s="34" t="s">
        <v>166</v>
      </c>
    </row>
    <row r="4" spans="2:6" x14ac:dyDescent="0.25">
      <c r="B4" s="8" t="s">
        <v>80</v>
      </c>
      <c r="C4" s="1" t="s">
        <v>1</v>
      </c>
      <c r="D4" s="1" t="s">
        <v>131</v>
      </c>
      <c r="E4" s="20">
        <v>99551935.530000001</v>
      </c>
      <c r="F4" s="57">
        <f>E4/SUMIF($D$4:$D$53,D4,$E$4:$E$53)</f>
        <v>5.044289718088308E-2</v>
      </c>
    </row>
    <row r="5" spans="2:6" x14ac:dyDescent="0.25">
      <c r="B5" s="8" t="s">
        <v>81</v>
      </c>
      <c r="C5" s="1" t="s">
        <v>3</v>
      </c>
      <c r="D5" s="1" t="s">
        <v>131</v>
      </c>
      <c r="E5" s="20">
        <v>47806177.100000009</v>
      </c>
      <c r="F5" s="57">
        <f t="shared" ref="F5:F53" si="0">E5/SUMIF($D$4:$D$53,D5,$E$4:$E$53)</f>
        <v>2.4223357016897845E-2</v>
      </c>
    </row>
    <row r="6" spans="2:6" x14ac:dyDescent="0.25">
      <c r="B6" s="8" t="s">
        <v>82</v>
      </c>
      <c r="C6" s="1" t="s">
        <v>2</v>
      </c>
      <c r="D6" s="1" t="s">
        <v>132</v>
      </c>
      <c r="E6" s="20">
        <v>52154061.00999999</v>
      </c>
      <c r="F6" s="57">
        <f t="shared" si="0"/>
        <v>0.12490096413146874</v>
      </c>
    </row>
    <row r="7" spans="2:6" x14ac:dyDescent="0.25">
      <c r="B7" s="8" t="s">
        <v>83</v>
      </c>
      <c r="C7" s="2" t="s">
        <v>4</v>
      </c>
      <c r="D7" s="1" t="s">
        <v>132</v>
      </c>
      <c r="E7" s="20">
        <v>104181247.62</v>
      </c>
      <c r="F7" s="57">
        <f t="shared" si="0"/>
        <v>0.24949808356557901</v>
      </c>
    </row>
    <row r="8" spans="2:6" x14ac:dyDescent="0.25">
      <c r="B8" s="8" t="s">
        <v>84</v>
      </c>
      <c r="C8" s="2" t="s">
        <v>5</v>
      </c>
      <c r="D8" s="1" t="s">
        <v>132</v>
      </c>
      <c r="E8" s="20">
        <v>45380179.270000003</v>
      </c>
      <c r="F8" s="57">
        <f t="shared" si="0"/>
        <v>0.10867855797835392</v>
      </c>
    </row>
    <row r="9" spans="2:6" x14ac:dyDescent="0.25">
      <c r="B9" s="8" t="s">
        <v>85</v>
      </c>
      <c r="C9" s="2" t="s">
        <v>6</v>
      </c>
      <c r="D9" s="1" t="s">
        <v>131</v>
      </c>
      <c r="E9" s="20">
        <v>15738354.41</v>
      </c>
      <c r="F9" s="57">
        <f t="shared" si="0"/>
        <v>7.97461334200468E-3</v>
      </c>
    </row>
    <row r="10" spans="2:6" x14ac:dyDescent="0.25">
      <c r="B10" s="8" t="s">
        <v>86</v>
      </c>
      <c r="C10" s="2" t="s">
        <v>7</v>
      </c>
      <c r="D10" s="1" t="s">
        <v>131</v>
      </c>
      <c r="E10" s="20">
        <v>9163607.3800000008</v>
      </c>
      <c r="F10" s="57">
        <f t="shared" si="0"/>
        <v>4.6431935493210534E-3</v>
      </c>
    </row>
    <row r="11" spans="2:6" x14ac:dyDescent="0.25">
      <c r="B11" s="8" t="s">
        <v>87</v>
      </c>
      <c r="C11" s="2" t="s">
        <v>8</v>
      </c>
      <c r="D11" s="1" t="s">
        <v>131</v>
      </c>
      <c r="E11" s="20">
        <v>203779465.06999996</v>
      </c>
      <c r="F11" s="57">
        <f t="shared" si="0"/>
        <v>0.10325491462698598</v>
      </c>
    </row>
    <row r="12" spans="2:6" x14ac:dyDescent="0.25">
      <c r="B12" s="8" t="s">
        <v>67</v>
      </c>
      <c r="C12" s="2" t="s">
        <v>67</v>
      </c>
      <c r="D12" s="1" t="s">
        <v>132</v>
      </c>
      <c r="E12" s="20">
        <v>1360092.99</v>
      </c>
      <c r="F12" s="57">
        <f t="shared" si="0"/>
        <v>3.2572137714622063E-3</v>
      </c>
    </row>
    <row r="13" spans="2:6" x14ac:dyDescent="0.25">
      <c r="B13" s="8" t="s">
        <v>88</v>
      </c>
      <c r="C13" s="2" t="s">
        <v>9</v>
      </c>
      <c r="D13" s="1" t="s">
        <v>131</v>
      </c>
      <c r="E13" s="20">
        <v>78719240.229999989</v>
      </c>
      <c r="F13" s="57">
        <f t="shared" si="0"/>
        <v>3.9886984817914611E-2</v>
      </c>
    </row>
    <row r="14" spans="2:6" x14ac:dyDescent="0.25">
      <c r="B14" s="8" t="s">
        <v>89</v>
      </c>
      <c r="C14" s="2" t="s">
        <v>13</v>
      </c>
      <c r="D14" s="1" t="s">
        <v>131</v>
      </c>
      <c r="E14" s="20">
        <v>34744404.710000001</v>
      </c>
      <c r="F14" s="57">
        <f t="shared" si="0"/>
        <v>1.7604965941313826E-2</v>
      </c>
    </row>
    <row r="15" spans="2:6" x14ac:dyDescent="0.25">
      <c r="B15" s="8" t="s">
        <v>90</v>
      </c>
      <c r="C15" s="2" t="s">
        <v>10</v>
      </c>
      <c r="D15" s="1" t="s">
        <v>132</v>
      </c>
      <c r="E15" s="20">
        <v>3450055.3121739151</v>
      </c>
      <c r="F15" s="57">
        <f t="shared" si="0"/>
        <v>8.2623524698257709E-3</v>
      </c>
    </row>
    <row r="16" spans="2:6" x14ac:dyDescent="0.25">
      <c r="B16" s="8" t="s">
        <v>91</v>
      </c>
      <c r="C16" s="2" t="s">
        <v>11</v>
      </c>
      <c r="D16" s="1" t="s">
        <v>131</v>
      </c>
      <c r="E16" s="20">
        <v>95114855.299999997</v>
      </c>
      <c r="F16" s="57">
        <f t="shared" si="0"/>
        <v>4.819463168374695E-2</v>
      </c>
    </row>
    <row r="17" spans="2:6" x14ac:dyDescent="0.25">
      <c r="B17" s="8" t="s">
        <v>92</v>
      </c>
      <c r="C17" s="2" t="s">
        <v>12</v>
      </c>
      <c r="D17" s="1" t="s">
        <v>131</v>
      </c>
      <c r="E17" s="20">
        <v>109177764.33000001</v>
      </c>
      <c r="F17" s="57">
        <f t="shared" si="0"/>
        <v>5.5320298005429196E-2</v>
      </c>
    </row>
    <row r="18" spans="2:6" x14ac:dyDescent="0.25">
      <c r="B18" s="8" t="s">
        <v>93</v>
      </c>
      <c r="C18" s="2" t="s">
        <v>14</v>
      </c>
      <c r="D18" s="1" t="s">
        <v>131</v>
      </c>
      <c r="E18" s="20">
        <v>30298551.030000001</v>
      </c>
      <c r="F18" s="57">
        <f t="shared" si="0"/>
        <v>1.535225494310416E-2</v>
      </c>
    </row>
    <row r="19" spans="2:6" x14ac:dyDescent="0.25">
      <c r="B19" s="8" t="s">
        <v>94</v>
      </c>
      <c r="C19" s="2" t="s">
        <v>15</v>
      </c>
      <c r="D19" s="1" t="s">
        <v>131</v>
      </c>
      <c r="E19" s="20">
        <v>87456089</v>
      </c>
      <c r="F19" s="57">
        <f t="shared" si="0"/>
        <v>4.4313940073417671E-2</v>
      </c>
    </row>
    <row r="20" spans="2:6" x14ac:dyDescent="0.25">
      <c r="B20" s="8" t="s">
        <v>95</v>
      </c>
      <c r="C20" s="2" t="s">
        <v>16</v>
      </c>
      <c r="D20" s="1" t="s">
        <v>131</v>
      </c>
      <c r="E20" s="20">
        <v>56290054.379999995</v>
      </c>
      <c r="F20" s="57">
        <f t="shared" si="0"/>
        <v>2.8522131792615854E-2</v>
      </c>
    </row>
    <row r="21" spans="2:6" x14ac:dyDescent="0.25">
      <c r="B21" s="8" t="s">
        <v>96</v>
      </c>
      <c r="C21" s="2" t="s">
        <v>19</v>
      </c>
      <c r="D21" s="1" t="s">
        <v>131</v>
      </c>
      <c r="E21" s="20">
        <v>26165926.170000002</v>
      </c>
      <c r="F21" s="57">
        <f t="shared" si="0"/>
        <v>1.325825677229691E-2</v>
      </c>
    </row>
    <row r="22" spans="2:6" x14ac:dyDescent="0.25">
      <c r="B22" s="8" t="s">
        <v>97</v>
      </c>
      <c r="C22" s="2" t="s">
        <v>18</v>
      </c>
      <c r="D22" s="1" t="s">
        <v>131</v>
      </c>
      <c r="E22" s="20">
        <v>19866744.600000001</v>
      </c>
      <c r="F22" s="57">
        <f t="shared" si="0"/>
        <v>1.0066465808438955E-2</v>
      </c>
    </row>
    <row r="23" spans="2:6" x14ac:dyDescent="0.25">
      <c r="B23" s="8" t="s">
        <v>98</v>
      </c>
      <c r="C23" s="2" t="s">
        <v>17</v>
      </c>
      <c r="D23" s="1" t="s">
        <v>131</v>
      </c>
      <c r="E23" s="20">
        <v>4745761.5299999993</v>
      </c>
      <c r="F23" s="57">
        <f t="shared" si="0"/>
        <v>2.4046740992859964E-3</v>
      </c>
    </row>
    <row r="24" spans="2:6" x14ac:dyDescent="0.25">
      <c r="B24" s="8" t="s">
        <v>99</v>
      </c>
      <c r="C24" s="2" t="s">
        <v>20</v>
      </c>
      <c r="D24" s="1" t="s">
        <v>131</v>
      </c>
      <c r="E24" s="20">
        <v>72485602.620000005</v>
      </c>
      <c r="F24" s="57">
        <f t="shared" si="0"/>
        <v>3.6728404933454632E-2</v>
      </c>
    </row>
    <row r="25" spans="2:6" x14ac:dyDescent="0.25">
      <c r="B25" s="8" t="s">
        <v>100</v>
      </c>
      <c r="C25" s="2" t="s">
        <v>21</v>
      </c>
      <c r="D25" s="1" t="s">
        <v>131</v>
      </c>
      <c r="E25" s="20">
        <v>33303252.030000001</v>
      </c>
      <c r="F25" s="57">
        <f t="shared" si="0"/>
        <v>1.6874734870745769E-2</v>
      </c>
    </row>
    <row r="26" spans="2:6" x14ac:dyDescent="0.25">
      <c r="B26" s="8" t="s">
        <v>101</v>
      </c>
      <c r="C26" s="2" t="s">
        <v>23</v>
      </c>
      <c r="D26" s="1" t="s">
        <v>131</v>
      </c>
      <c r="E26" s="20">
        <v>77714140</v>
      </c>
      <c r="F26" s="57">
        <f t="shared" si="0"/>
        <v>3.9377701223492753E-2</v>
      </c>
    </row>
    <row r="27" spans="2:6" x14ac:dyDescent="0.25">
      <c r="B27" s="8" t="s">
        <v>102</v>
      </c>
      <c r="C27" s="2" t="s">
        <v>22</v>
      </c>
      <c r="D27" s="1" t="s">
        <v>131</v>
      </c>
      <c r="E27" s="20">
        <v>47704530.640000008</v>
      </c>
      <c r="F27" s="57">
        <f t="shared" si="0"/>
        <v>2.4171852825610317E-2</v>
      </c>
    </row>
    <row r="28" spans="2:6" x14ac:dyDescent="0.25">
      <c r="B28" s="8" t="s">
        <v>103</v>
      </c>
      <c r="C28" s="2" t="s">
        <v>24</v>
      </c>
      <c r="D28" s="1" t="s">
        <v>132</v>
      </c>
      <c r="E28" s="20">
        <v>15432987.028695652</v>
      </c>
      <c r="F28" s="57">
        <f t="shared" si="0"/>
        <v>3.6959633094399723E-2</v>
      </c>
    </row>
    <row r="29" spans="2:6" x14ac:dyDescent="0.25">
      <c r="B29" s="8" t="s">
        <v>65</v>
      </c>
      <c r="C29" s="2" t="s">
        <v>65</v>
      </c>
      <c r="D29" s="1" t="s">
        <v>132</v>
      </c>
      <c r="E29" s="20">
        <v>29629453</v>
      </c>
      <c r="F29" s="57">
        <f t="shared" si="0"/>
        <v>7.0957988212623738E-2</v>
      </c>
    </row>
    <row r="30" spans="2:6" x14ac:dyDescent="0.25">
      <c r="B30" s="8" t="s">
        <v>104</v>
      </c>
      <c r="C30" s="2" t="s">
        <v>31</v>
      </c>
      <c r="D30" s="1" t="s">
        <v>131</v>
      </c>
      <c r="E30" s="20">
        <v>80440253.99000001</v>
      </c>
      <c r="F30" s="57">
        <f t="shared" si="0"/>
        <v>4.0759021305004355E-2</v>
      </c>
    </row>
    <row r="31" spans="2:6" x14ac:dyDescent="0.25">
      <c r="B31" s="8" t="s">
        <v>105</v>
      </c>
      <c r="C31" s="2" t="s">
        <v>32</v>
      </c>
      <c r="D31" s="1" t="s">
        <v>131</v>
      </c>
      <c r="E31" s="20">
        <v>28513455.800000001</v>
      </c>
      <c r="F31" s="57">
        <f t="shared" si="0"/>
        <v>1.4447748419292378E-2</v>
      </c>
    </row>
    <row r="32" spans="2:6" x14ac:dyDescent="0.25">
      <c r="B32" s="8" t="s">
        <v>106</v>
      </c>
      <c r="C32" s="2" t="s">
        <v>25</v>
      </c>
      <c r="D32" s="1" t="s">
        <v>131</v>
      </c>
      <c r="E32" s="20">
        <v>25122502.809999999</v>
      </c>
      <c r="F32" s="57">
        <f t="shared" si="0"/>
        <v>1.2729554874293624E-2</v>
      </c>
    </row>
    <row r="33" spans="2:6" x14ac:dyDescent="0.25">
      <c r="B33" s="8" t="s">
        <v>107</v>
      </c>
      <c r="C33" s="2" t="s">
        <v>27</v>
      </c>
      <c r="D33" s="1" t="s">
        <v>131</v>
      </c>
      <c r="E33" s="20">
        <v>8300823.9900000002</v>
      </c>
      <c r="F33" s="57">
        <f t="shared" si="0"/>
        <v>4.2060217997268064E-3</v>
      </c>
    </row>
    <row r="34" spans="2:6" x14ac:dyDescent="0.25">
      <c r="B34" s="8" t="s">
        <v>108</v>
      </c>
      <c r="C34" s="2" t="s">
        <v>28</v>
      </c>
      <c r="D34" s="1" t="s">
        <v>131</v>
      </c>
      <c r="E34" s="20">
        <v>36440361.100000009</v>
      </c>
      <c r="F34" s="57">
        <f t="shared" si="0"/>
        <v>1.8464305876279247E-2</v>
      </c>
    </row>
    <row r="35" spans="2:6" x14ac:dyDescent="0.25">
      <c r="B35" s="8" t="s">
        <v>109</v>
      </c>
      <c r="C35" s="2" t="s">
        <v>29</v>
      </c>
      <c r="D35" s="1" t="s">
        <v>132</v>
      </c>
      <c r="E35" s="20">
        <v>19292945.009999998</v>
      </c>
      <c r="F35" s="57">
        <f t="shared" si="0"/>
        <v>4.6203639486911141E-2</v>
      </c>
    </row>
    <row r="36" spans="2:6" x14ac:dyDescent="0.25">
      <c r="B36" s="8" t="s">
        <v>110</v>
      </c>
      <c r="C36" s="2" t="s">
        <v>26</v>
      </c>
      <c r="D36" s="1" t="s">
        <v>132</v>
      </c>
      <c r="E36" s="20">
        <v>28196770.720000003</v>
      </c>
      <c r="F36" s="57">
        <f t="shared" si="0"/>
        <v>6.7526934242890496E-2</v>
      </c>
    </row>
    <row r="37" spans="2:6" x14ac:dyDescent="0.25">
      <c r="B37" s="8" t="s">
        <v>111</v>
      </c>
      <c r="C37" s="2" t="s">
        <v>30</v>
      </c>
      <c r="D37" s="1" t="s">
        <v>131</v>
      </c>
      <c r="E37" s="20">
        <v>60697229.100000009</v>
      </c>
      <c r="F37" s="57">
        <f t="shared" si="0"/>
        <v>3.0755244188428132E-2</v>
      </c>
    </row>
    <row r="38" spans="2:6" x14ac:dyDescent="0.25">
      <c r="B38" s="8" t="s">
        <v>112</v>
      </c>
      <c r="C38" s="2" t="s">
        <v>33</v>
      </c>
      <c r="D38" s="1" t="s">
        <v>131</v>
      </c>
      <c r="E38" s="20">
        <v>110416113.3</v>
      </c>
      <c r="F38" s="57">
        <f t="shared" si="0"/>
        <v>5.5947768575792312E-2</v>
      </c>
    </row>
    <row r="39" spans="2:6" x14ac:dyDescent="0.25">
      <c r="B39" s="8" t="s">
        <v>113</v>
      </c>
      <c r="C39" s="2" t="s">
        <v>34</v>
      </c>
      <c r="D39" s="1" t="s">
        <v>131</v>
      </c>
      <c r="E39" s="20">
        <v>67534293.709999993</v>
      </c>
      <c r="F39" s="57">
        <f t="shared" si="0"/>
        <v>3.4219580118264009E-2</v>
      </c>
    </row>
    <row r="40" spans="2:6" x14ac:dyDescent="0.25">
      <c r="B40" s="8" t="s">
        <v>114</v>
      </c>
      <c r="C40" s="2" t="s">
        <v>35</v>
      </c>
      <c r="D40" s="1" t="s">
        <v>132</v>
      </c>
      <c r="E40" s="20">
        <v>16603760.557826083</v>
      </c>
      <c r="F40" s="57">
        <f t="shared" si="0"/>
        <v>3.9763455840627571E-2</v>
      </c>
    </row>
    <row r="41" spans="2:6" x14ac:dyDescent="0.25">
      <c r="B41" s="8" t="s">
        <v>115</v>
      </c>
      <c r="C41" s="2" t="s">
        <v>36</v>
      </c>
      <c r="D41" s="1" t="s">
        <v>131</v>
      </c>
      <c r="E41" s="20">
        <v>146137379.81999999</v>
      </c>
      <c r="F41" s="57">
        <f t="shared" si="0"/>
        <v>7.4047709723559174E-2</v>
      </c>
    </row>
    <row r="42" spans="2:6" x14ac:dyDescent="0.25">
      <c r="B42" s="8" t="s">
        <v>116</v>
      </c>
      <c r="C42" s="2" t="s">
        <v>37</v>
      </c>
      <c r="D42" s="1" t="s">
        <v>131</v>
      </c>
      <c r="E42" s="20">
        <v>8140017.2799999984</v>
      </c>
      <c r="F42" s="57">
        <f t="shared" si="0"/>
        <v>4.1245411505024454E-3</v>
      </c>
    </row>
    <row r="43" spans="2:6" x14ac:dyDescent="0.25">
      <c r="B43" s="8" t="s">
        <v>117</v>
      </c>
      <c r="C43" s="2" t="s">
        <v>38</v>
      </c>
      <c r="D43" s="1" t="s">
        <v>131</v>
      </c>
      <c r="E43" s="20">
        <v>40085190.140000001</v>
      </c>
      <c r="F43" s="57">
        <f t="shared" si="0"/>
        <v>2.0311138240992149E-2</v>
      </c>
    </row>
    <row r="44" spans="2:6" x14ac:dyDescent="0.25">
      <c r="B44" s="8" t="s">
        <v>118</v>
      </c>
      <c r="C44" s="2" t="s">
        <v>39</v>
      </c>
      <c r="D44" s="1" t="s">
        <v>131</v>
      </c>
      <c r="E44" s="20">
        <v>5406023.1739130449</v>
      </c>
      <c r="F44" s="57">
        <f t="shared" si="0"/>
        <v>2.7392282195958921E-3</v>
      </c>
    </row>
    <row r="45" spans="2:6" x14ac:dyDescent="0.25">
      <c r="B45" s="8" t="s">
        <v>119</v>
      </c>
      <c r="C45" s="2" t="s">
        <v>40</v>
      </c>
      <c r="D45" s="1" t="s">
        <v>131</v>
      </c>
      <c r="E45" s="20">
        <v>41706939.549999997</v>
      </c>
      <c r="F45" s="57">
        <f t="shared" si="0"/>
        <v>2.1132877550291019E-2</v>
      </c>
    </row>
    <row r="46" spans="2:6" x14ac:dyDescent="0.25">
      <c r="B46" s="8" t="s">
        <v>120</v>
      </c>
      <c r="C46" s="2" t="s">
        <v>41</v>
      </c>
      <c r="D46" s="1" t="s">
        <v>41</v>
      </c>
      <c r="E46" s="20">
        <v>324345238.67000008</v>
      </c>
      <c r="F46" s="57">
        <f t="shared" si="0"/>
        <v>1</v>
      </c>
    </row>
    <row r="47" spans="2:6" x14ac:dyDescent="0.25">
      <c r="B47" s="8" t="s">
        <v>121</v>
      </c>
      <c r="C47" s="2" t="s">
        <v>66</v>
      </c>
      <c r="D47" s="1" t="s">
        <v>132</v>
      </c>
      <c r="E47" s="20">
        <v>3090433</v>
      </c>
      <c r="F47" s="57">
        <f t="shared" si="0"/>
        <v>7.4011122779048073E-3</v>
      </c>
    </row>
    <row r="48" spans="2:6" x14ac:dyDescent="0.25">
      <c r="B48" s="8" t="s">
        <v>122</v>
      </c>
      <c r="C48" s="2" t="s">
        <v>42</v>
      </c>
      <c r="D48" s="1" t="s">
        <v>132</v>
      </c>
      <c r="E48" s="20">
        <v>35938674.799999997</v>
      </c>
      <c r="F48" s="57">
        <f t="shared" si="0"/>
        <v>8.6067605191216923E-2</v>
      </c>
    </row>
    <row r="49" spans="2:6" x14ac:dyDescent="0.25">
      <c r="B49" s="8" t="s">
        <v>123</v>
      </c>
      <c r="C49" s="2" t="s">
        <v>43</v>
      </c>
      <c r="D49" s="1" t="s">
        <v>131</v>
      </c>
      <c r="E49" s="20">
        <v>52306978.910000004</v>
      </c>
      <c r="F49" s="57">
        <f t="shared" si="0"/>
        <v>2.650391019474084E-2</v>
      </c>
    </row>
    <row r="50" spans="2:6" x14ac:dyDescent="0.25">
      <c r="B50" s="8" t="s">
        <v>124</v>
      </c>
      <c r="C50" s="2" t="s">
        <v>44</v>
      </c>
      <c r="D50" s="1" t="s">
        <v>132</v>
      </c>
      <c r="E50" s="20">
        <v>19462110.708260853</v>
      </c>
      <c r="F50" s="57">
        <f t="shared" si="0"/>
        <v>4.6608765346749799E-2</v>
      </c>
    </row>
    <row r="51" spans="2:6" x14ac:dyDescent="0.25">
      <c r="B51" s="8" t="s">
        <v>125</v>
      </c>
      <c r="C51" s="2" t="s">
        <v>46</v>
      </c>
      <c r="D51" s="1" t="s">
        <v>131</v>
      </c>
      <c r="E51" s="20">
        <v>42404661.939999998</v>
      </c>
      <c r="F51" s="57">
        <f t="shared" si="0"/>
        <v>2.1486413004847438E-2</v>
      </c>
    </row>
    <row r="52" spans="2:6" x14ac:dyDescent="0.25">
      <c r="B52" s="8" t="s">
        <v>126</v>
      </c>
      <c r="C52" s="2" t="s">
        <v>45</v>
      </c>
      <c r="D52" s="1" t="s">
        <v>131</v>
      </c>
      <c r="E52" s="20">
        <v>70078372.819999993</v>
      </c>
      <c r="F52" s="57">
        <f t="shared" si="0"/>
        <v>3.5508663251430116E-2</v>
      </c>
    </row>
    <row r="53" spans="2:6" ht="15.75" thickBot="1" x14ac:dyDescent="0.3">
      <c r="B53" s="12" t="s">
        <v>127</v>
      </c>
      <c r="C53" s="13" t="s">
        <v>47</v>
      </c>
      <c r="D53" s="13" t="s">
        <v>132</v>
      </c>
      <c r="E53" s="53">
        <v>43390547.019999996</v>
      </c>
      <c r="F53" s="58">
        <f t="shared" si="0"/>
        <v>0.10391369438998607</v>
      </c>
    </row>
    <row r="54" spans="2:6" x14ac:dyDescent="0.25">
      <c r="E54" s="18"/>
    </row>
    <row r="55" spans="2:6" x14ac:dyDescent="0.25">
      <c r="E55" s="18"/>
    </row>
    <row r="56" spans="2:6" x14ac:dyDescent="0.25">
      <c r="E56" s="18"/>
    </row>
  </sheetData>
  <mergeCells count="2">
    <mergeCell ref="B3:C3"/>
    <mergeCell ref="B2:F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2014-10-28T14:28:18+00:00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7C55E76A7EAE4BBBD1798BAC36F714" ma:contentTypeVersion="15" ma:contentTypeDescription="Create a new document." ma:contentTypeScope="" ma:versionID="31d8c9754417749e22c79a44af3865dd">
  <xsd:schema xmlns:xsd="http://www.w3.org/2001/XMLSchema" xmlns:xs="http://www.w3.org/2001/XMLSchema" xmlns:p="http://schemas.microsoft.com/office/2006/metadata/properties" xmlns:ns1="http://schemas.microsoft.com/sharepoint/v3" xmlns:ns3="4ffa91fb-a0ff-4ac5-b2db-65c790d184a4" xmlns:ns4="http://schemas.microsoft.com/sharepoint.v3" xmlns:ns5="http://schemas.microsoft.com/sharepoint/v3/fields" xmlns:ns6="fb489ee6-2a1a-454b-b8aa-a578c758f047" targetNamespace="http://schemas.microsoft.com/office/2006/metadata/properties" ma:root="true" ma:fieldsID="72fc238dc31df936458125affe1f7061" ns1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fb489ee6-2a1a-454b-b8aa-a578c758f047"/>
    <xsd:element name="properties">
      <xsd:complexType>
        <xsd:sequence>
          <xsd:element name="documentManagement">
            <xsd:complexType>
              <xsd:all>
                <xsd:element ref="ns3:Document_x0020_Creation_x0020_Date" minOccurs="0"/>
                <xsd:element ref="ns3:Creator" minOccurs="0"/>
                <xsd:element ref="ns3:EPA_x0020_Office" minOccurs="0"/>
                <xsd:element ref="ns3:Record" minOccurs="0"/>
                <xsd:element ref="ns4:CategoryDescription" minOccurs="0"/>
                <xsd:element ref="ns3:Identifier" minOccurs="0"/>
                <xsd:element ref="ns3:EPA_x0020_Contributor" minOccurs="0"/>
                <xsd:element ref="ns3:External_x0020_Contributor" minOccurs="0"/>
                <xsd:element ref="ns5:_Coverage" minOccurs="0"/>
                <xsd:element ref="ns3:EPA_x0020_Related_x0020_Documents" minOccurs="0"/>
                <xsd:element ref="ns5:_Source" minOccurs="0"/>
                <xsd:element ref="ns3:Rights" minOccurs="0"/>
                <xsd:element ref="ns1:Language" minOccurs="0"/>
                <xsd:element ref="ns3:j747ac98061d40f0aa7bd47e1db5675d" minOccurs="0"/>
                <xsd:element ref="ns3:TaxKeywordTaxHTField" minOccurs="0"/>
                <xsd:element ref="ns3:TaxCatchAllLabel" minOccurs="0"/>
                <xsd:element ref="ns3:TaxCatchAll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hidden="true" ma:list="{fe4420c6-c422-405b-8407-82a0ca7bb603}" ma:internalName="TaxCatchAllLabel" ma:readOnly="true" ma:showField="CatchAllDataLabel" ma:web="fb489ee6-2a1a-454b-b8aa-a578c758f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hidden="true" ma:list="{fe4420c6-c422-405b-8407-82a0ca7bb603}" ma:internalName="TaxCatchAll" ma:showField="CatchAllData" ma:web="fb489ee6-2a1a-454b-b8aa-a578c758f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489ee6-2a1a-454b-b8aa-a578c758f047" elementFormDefault="qualified">
    <xsd:import namespace="http://schemas.microsoft.com/office/2006/documentManagement/types"/>
    <xsd:import namespace="http://schemas.microsoft.com/office/infopath/2007/PartnerControls"/>
    <xsd:element name="SharedWithUsers" ma:index="2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AB86BA-3D02-4960-8F21-030DC9074B41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F75FA978-5708-4C60-A07A-E43ADEE6A6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51D8BE-F3F8-4C52-B40F-CFD64BEF4EBB}">
  <ds:schemaRefs>
    <ds:schemaRef ds:uri="4ffa91fb-a0ff-4ac5-b2db-65c790d184a4"/>
    <ds:schemaRef ds:uri="http://schemas.microsoft.com/sharepoint.v3"/>
    <ds:schemaRef ds:uri="http://purl.org/dc/elements/1.1/"/>
    <ds:schemaRef ds:uri="http://purl.org/dc/dcmitype/"/>
    <ds:schemaRef ds:uri="http://schemas.microsoft.com/office/infopath/2007/PartnerControls"/>
    <ds:schemaRef ds:uri="http://schemas.microsoft.com/sharepoint/v3/fields"/>
    <ds:schemaRef ds:uri="http://schemas.microsoft.com/office/2006/documentManagement/types"/>
    <ds:schemaRef ds:uri="fb489ee6-2a1a-454b-b8aa-a578c758f047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EF04C74-F882-4D20-B5D8-3C3B6FF4F1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fb489ee6-2a1a-454b-b8aa-a578c758f0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Source Complements</vt:lpstr>
      <vt:lpstr>Mass Goal Generation Growth</vt:lpstr>
      <vt:lpstr>Under Construction</vt:lpstr>
      <vt:lpstr>2012 Sales</vt:lpstr>
      <vt:lpstr>State Interconnection Mapping</vt:lpstr>
      <vt:lpstr>Net Energy for Load</vt:lpstr>
      <vt:lpstr>State Share Interconnect Gen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Sims, Ryan</dc:creator>
  <cp:lastModifiedBy>Ryan Sims</cp:lastModifiedBy>
  <dcterms:created xsi:type="dcterms:W3CDTF">2014-05-27T13:22:46Z</dcterms:created>
  <dcterms:modified xsi:type="dcterms:W3CDTF">2015-08-27T19:02:08Z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0x0101005E7C55E76A7EAE4BBBD1798BAC36F714</vt:lpwstr>
  </property>
</Properties>
</file>