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2760" windowWidth="15480" windowHeight="5460" tabRatio="989" activeTab="4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<sst xmlns="http://schemas.openxmlformats.org/spreadsheetml/2006/main" count="352" uniqueCount="210">
  <si>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</si>
  <si>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</si>
  <si>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</si>
  <si>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</si>
  <si>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</si>
  <si>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</si>
  <si>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</si>
  <si>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</si>
  <si>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</si>
  <si>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</si>
  <si>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</si>
  <si>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</si>
  <si>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</si>
  <si>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</si>
  <si>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</si>
  <si>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</si>
  <si>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</si>
  <si>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</si>
  <si>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</si>
  <si>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</si>
  <si>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</si>
  <si>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</si>
  <si>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</si>
  <si>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</si>
  <si>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</si>
  <si>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</si>
  <si>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</si>
  <si>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</si>
  <si>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</si>
  <si>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</si>
  <si>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</si>
  <si>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</si>
  <si>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</si>
  <si>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</si>
  <si>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</si>
  <si>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</si>
  <si>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</si>
  <si>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</si>
  <si>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</si>
  <si>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</si>
  <si>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</si>
  <si>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</si>
  <si>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</si>
  <si>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</si>
  <si>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</si>
  <si>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</si>
  <si>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</si>
  <si>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</si>
  <si>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</si>
  <si>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</si>
  <si>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</si>
  <si>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</si>
  <si>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</si>
  <si>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</si>
  <si>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</si>
  <si>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</si>
  <si>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</si>
  <si>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</si>
  <si>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</si>
  <si>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</si>
  <si>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</si>
  <si>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</si>
  <si>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</si>
  <si>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</si>
  <si>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</si>
  <si>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</si>
  <si>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</si>
  <si>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</si>
  <si>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</si>
  <si>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</si>
  <si>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</si>
  <si>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</si>
  <si>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</si>
  <si>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</si>
  <si>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</si>
  <si>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</si>
  <si>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</si>
  <si>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</si>
  <si>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</si>
  <si>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</si>
  <si>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</si>
  <si>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</si>
  <si>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</si>
  <si>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</si>
  <si>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</si>
  <si>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</si>
  <si>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</si>
  <si>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</si>
  <si>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</si>
  <si>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</si>
  <si>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</si>
  <si>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</si>
  <si>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</si>
  <si>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</si>
  <si>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</si>
  <si>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</si>
  <si>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</si>
  <si>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</si>
  <si>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</si>
  <si>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</si>
  <si>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</si>
  <si>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</si>
  <si>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</si>
  <si>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</si>
  <si>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</si>
  <si>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</si>
  <si>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</si>
  <si>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</si>
  <si>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</si>
  <si>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</si>
  <si>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</si>
  <si>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</si>
  <si>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</si>
  <si>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</si>
  <si>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</si>
  <si>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</si>
  <si>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</si>
  <si>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</si>
  <si>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</si>
  <si>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</si>
  <si>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</si>
  <si>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</si>
  <si>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</si>
  <si>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</si>
  <si>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</si>
  <si>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</si>
  <si>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</si>
  <si>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</si>
  <si>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</si>
  <si>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</si>
  <si>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</si>
  <si>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</si>
  <si>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</si>
  <si>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</si>
  <si>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</si>
  <si>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</si>
  <si>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</si>
  <si>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</si>
  <si>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</si>
  <si>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</si>
  <si>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</si>
  <si>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</si>
  <si>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</si>
  <si>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</si>
  <si>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</si>
  <si>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</si>
  <si>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</si>
  <si>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</si>
  <si>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</si>
  <si>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</si>
  <si>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</si>
  <si>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</si>
  <si>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</si>
  <si>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</si>
  <si>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</si>
  <si>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</si>
  <si>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</si>
  <si>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</si>
  <si>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</si>
  <si>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</si>
  <si>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</si>
  <si>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</si>
  <si>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</si>
  <si>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</si>
  <si>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</si>
  <si>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</si>
  <si>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</si>
  <si>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</si>
  <si>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</si>
  <si>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</si>
  <si>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</si>
  <si>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</si>
  <si>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</si>
  <si>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</si>
  <si>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</si>
  <si>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</si>
  <si>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</si>
  <si>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</si>
  <si>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</si>
  <si>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</si>
  <si>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</si>
  <si>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</si>
  <si>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</si>
  <si>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</si>
  <si>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</si>
  <si>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</si>
  <si>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</si>
  <si>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</si>
  <si>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</si>
  <si>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</si>
  <si>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</si>
  <si>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</si>
  <si>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</si>
  <si>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</si>
  <si>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</si>
  <si>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</si>
  <si>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</si>
  <si>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</si>
  <si>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</si>
  <si>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</si>
  <si>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</si>
  <si>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</si>
  <si>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</si>
  <si>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</si>
  <si>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</si>
  <si>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Mizen Head</t>
  </si>
  <si>
    <t>MIZ_SP01</t>
  </si>
  <si>
    <t>29th Sept 2008</t>
  </si>
  <si>
    <t>Fionnuala Ni Mhairtin</t>
  </si>
  <si>
    <t>29th September 2008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</si>
</sst>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1">
      <selection activeCell="C31" sqref="C31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205</v>
      </c>
      <c r="D4" s="3" t="s">
        <v>129</v>
      </c>
      <c r="K4">
        <f>K17*(F42+I42)/10000+D44</f>
        <v>5.453289991</v>
      </c>
    </row>
    <row r="5" ht="3.75" customHeight="1">
      <c r="A5" s="19"/>
    </row>
    <row r="6" spans="1:11" ht="12.75">
      <c r="A6" s="19" t="s">
        <v>7</v>
      </c>
      <c r="B6" t="s">
        <v>206</v>
      </c>
      <c r="D6" s="3" t="s">
        <v>130</v>
      </c>
      <c r="K6">
        <f>(K17*(F42+G42+I42)+IF(B14="YES",K17*142,0))/10000+D44</f>
        <v>5.6169958455</v>
      </c>
    </row>
    <row r="7" ht="3.75" customHeight="1">
      <c r="A7" s="19"/>
    </row>
    <row r="8" spans="1:11" ht="12.75">
      <c r="A8" s="19" t="s">
        <v>9</v>
      </c>
      <c r="B8" t="s">
        <v>207</v>
      </c>
      <c r="D8" s="3" t="s">
        <v>131</v>
      </c>
      <c r="K8">
        <f>IF(G20="","ERROR",(I20*D42)/10000)</f>
        <v>0.00399879236</v>
      </c>
    </row>
    <row r="9" ht="3.75" customHeight="1">
      <c r="A9" s="19"/>
    </row>
    <row r="10" spans="1:11" ht="12.75">
      <c r="A10" s="19" t="s">
        <v>10</v>
      </c>
      <c r="B10" t="s">
        <v>208</v>
      </c>
      <c r="D10" s="3" t="s">
        <v>132</v>
      </c>
      <c r="K10">
        <f>IF(G20="","ERROR",(I20*D42)/10000)</f>
        <v>0.00399879236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11.078283421219998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73.5</v>
      </c>
      <c r="K17">
        <f>IF(G17&gt;=1000000,100,IF(G17&lt;1000,1,(1+G17/10000)))</f>
        <v>1</v>
      </c>
    </row>
    <row r="18" ht="3.75" customHeight="1"/>
    <row r="19" ht="3.75" customHeight="1"/>
    <row r="20" spans="2:9" ht="14.25">
      <c r="B20" t="s">
        <v>120</v>
      </c>
      <c r="G20">
        <v>147</v>
      </c>
      <c r="I20">
        <f>IF(G20&lt;100,0.001,IF(G20&lt;1000,0.01,IF(G20&lt;10000,0.1,IF(G20&lt;100000,1,IF(G20&lt;1000000,10,IF(G20&lt;10000000,100,1000))))))</f>
        <v>0.01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143.17</v>
      </c>
      <c r="D24" s="38">
        <f aca="true" t="shared" si="0" ref="D24:D40">C24*K24</f>
        <v>1431.6999999999998</v>
      </c>
      <c r="E24" s="38">
        <f aca="true" t="shared" si="1" ref="E24:E40">C24*L24</f>
        <v>14.317</v>
      </c>
      <c r="F24" s="38">
        <f aca="true" t="shared" si="2" ref="F24:F40">C24*M24</f>
        <v>1431.6999999999998</v>
      </c>
      <c r="G24" s="38">
        <f aca="true" t="shared" si="3" ref="G24:G40">C24*N24</f>
        <v>14.317</v>
      </c>
      <c r="H24" s="38">
        <f aca="true" t="shared" si="4" ref="H24:H40">C24*O24</f>
        <v>14.317</v>
      </c>
      <c r="I24" s="38">
        <f aca="true" t="shared" si="5" ref="I24:I40">C24*P24</f>
        <v>14.317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85.175</v>
      </c>
      <c r="D25" s="38">
        <f t="shared" si="0"/>
        <v>851.75</v>
      </c>
      <c r="E25" s="38">
        <f t="shared" si="1"/>
        <v>8.5175</v>
      </c>
      <c r="F25" s="38">
        <f t="shared" si="2"/>
        <v>851.75</v>
      </c>
      <c r="G25" s="38">
        <f t="shared" si="3"/>
        <v>0.85175</v>
      </c>
      <c r="H25" s="38">
        <f t="shared" si="4"/>
        <v>8.5175</v>
      </c>
      <c r="I25" s="38">
        <f t="shared" si="5"/>
        <v>8.5175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860.695</v>
      </c>
      <c r="D26" s="38">
        <f t="shared" si="0"/>
        <v>8.606950000000001</v>
      </c>
      <c r="E26" s="38">
        <f t="shared" si="1"/>
        <v>8.606950000000001</v>
      </c>
      <c r="F26" s="38">
        <f t="shared" si="2"/>
        <v>8.606950000000001</v>
      </c>
      <c r="G26" s="38">
        <f t="shared" si="3"/>
        <v>0.8606950000000001</v>
      </c>
      <c r="H26" s="38">
        <f t="shared" si="4"/>
        <v>0.8606950000000001</v>
      </c>
      <c r="I26" s="38">
        <f t="shared" si="5"/>
        <v>8.606950000000001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1243</v>
      </c>
      <c r="D29" s="38">
        <f t="shared" si="0"/>
        <v>0</v>
      </c>
      <c r="E29" s="38">
        <f t="shared" si="1"/>
        <v>124.30000000000001</v>
      </c>
      <c r="F29" s="38">
        <f t="shared" si="2"/>
        <v>0</v>
      </c>
      <c r="G29" s="38">
        <f t="shared" si="3"/>
        <v>1243</v>
      </c>
      <c r="H29" s="38">
        <f t="shared" si="4"/>
        <v>1243</v>
      </c>
      <c r="I29" s="38">
        <f t="shared" si="5"/>
        <v>124.30000000000001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20885.91</v>
      </c>
      <c r="D30" s="38">
        <f t="shared" si="0"/>
        <v>20.88591</v>
      </c>
      <c r="E30" s="38">
        <f t="shared" si="1"/>
        <v>208.8591</v>
      </c>
      <c r="F30" s="38">
        <f t="shared" si="2"/>
        <v>20.88591</v>
      </c>
      <c r="G30" s="38">
        <f t="shared" si="3"/>
        <v>208.8591</v>
      </c>
      <c r="H30" s="38">
        <f t="shared" si="4"/>
        <v>208.8591</v>
      </c>
      <c r="I30" s="38">
        <f t="shared" si="5"/>
        <v>208.8591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165.175</v>
      </c>
      <c r="D31" s="38">
        <f t="shared" si="0"/>
        <v>1651.75</v>
      </c>
      <c r="E31" s="38">
        <f t="shared" si="1"/>
        <v>165.175</v>
      </c>
      <c r="F31" s="38">
        <f t="shared" si="2"/>
        <v>1651.75</v>
      </c>
      <c r="G31" s="38">
        <f t="shared" si="3"/>
        <v>165.175</v>
      </c>
      <c r="H31" s="38">
        <f t="shared" si="4"/>
        <v>165.175</v>
      </c>
      <c r="I31" s="38">
        <f t="shared" si="5"/>
        <v>165.175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337</v>
      </c>
      <c r="D32" s="38">
        <f t="shared" si="0"/>
        <v>33.7</v>
      </c>
      <c r="E32" s="38">
        <f t="shared" si="1"/>
        <v>0.337</v>
      </c>
      <c r="F32" s="38">
        <f t="shared" si="2"/>
        <v>33.7</v>
      </c>
      <c r="G32" s="38">
        <f t="shared" si="3"/>
        <v>0</v>
      </c>
      <c r="H32" s="38">
        <f t="shared" si="4"/>
        <v>0</v>
      </c>
      <c r="I32" s="38">
        <f t="shared" si="5"/>
        <v>0.337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3.995</v>
      </c>
      <c r="D35" s="38">
        <f t="shared" si="0"/>
        <v>0.3995</v>
      </c>
      <c r="E35" s="38">
        <f t="shared" si="1"/>
        <v>3.995</v>
      </c>
      <c r="F35" s="38">
        <f t="shared" si="2"/>
        <v>0.3995</v>
      </c>
      <c r="G35" s="38">
        <f t="shared" si="3"/>
        <v>3.995</v>
      </c>
      <c r="H35" s="38">
        <f t="shared" si="4"/>
        <v>0.3995</v>
      </c>
      <c r="I35" s="38">
        <f t="shared" si="5"/>
        <v>3.995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0</v>
      </c>
      <c r="D40" s="38">
        <f t="shared" si="0"/>
        <v>0</v>
      </c>
      <c r="E40" s="38">
        <f t="shared" si="1"/>
        <v>0</v>
      </c>
      <c r="F40" s="38">
        <f t="shared" si="2"/>
        <v>0</v>
      </c>
      <c r="G40" s="38">
        <f t="shared" si="3"/>
        <v>0</v>
      </c>
      <c r="H40" s="38">
        <f t="shared" si="4"/>
        <v>0</v>
      </c>
      <c r="I40" s="38">
        <f t="shared" si="5"/>
        <v>0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3998.7923599999995</v>
      </c>
      <c r="E42" s="39">
        <f t="shared" si="6"/>
        <v>534.1075500000001</v>
      </c>
      <c r="F42" s="39">
        <f t="shared" si="6"/>
        <v>3998.7923599999995</v>
      </c>
      <c r="G42" s="39">
        <f t="shared" si="6"/>
        <v>1637.0585449999996</v>
      </c>
      <c r="H42" s="39">
        <f t="shared" si="6"/>
        <v>1641.1287949999999</v>
      </c>
      <c r="I42" s="39">
        <f t="shared" si="6"/>
        <v>534.1075500000001</v>
      </c>
    </row>
    <row r="44" spans="2:4" ht="12.75">
      <c r="B44" s="32" t="s">
        <v>176</v>
      </c>
      <c r="C44">
        <v>0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3">
      <selection activeCell="B6" sqref="B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206</v>
      </c>
    </row>
    <row r="7" ht="3.75" customHeight="1">
      <c r="A7" s="19"/>
    </row>
    <row r="8" spans="1:2" ht="12.75">
      <c r="A8" s="19" t="s">
        <v>9</v>
      </c>
      <c r="B8" t="s">
        <v>207</v>
      </c>
    </row>
    <row r="9" ht="3.75" customHeight="1">
      <c r="A9" s="19"/>
    </row>
    <row r="10" spans="1:2" ht="12.75">
      <c r="A10" s="19" t="s">
        <v>10</v>
      </c>
      <c r="B10" t="s">
        <v>208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50</v>
      </c>
      <c r="E14">
        <f>IF(C14="Yes",200,0)</f>
        <v>0</v>
      </c>
    </row>
    <row r="15" ht="3.75" customHeight="1" thickBot="1">
      <c r="C15" s="2"/>
    </row>
    <row r="16" spans="2:5" ht="26.25" thickBot="1">
      <c r="B16" s="6" t="s">
        <v>161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1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400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5.453289991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17</v>
      </c>
      <c r="E26" s="10">
        <f>IF(J26&lt;&gt;"ERROR",J26,K26)</f>
        <v>5</v>
      </c>
      <c r="J26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5</v>
      </c>
      <c r="K26" t="str">
        <f>IF(C26="Lg - sand/gravel",5,IF(C26="Pl - Generally unproductive except for local zones",2,IF(C26="Pu - Generally unproductive",1,"ERROR")))</f>
        <v>ERROR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5</v>
      </c>
      <c r="E28">
        <f>C28*3</f>
        <v>15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20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20</v>
      </c>
    </row>
    <row r="36" ht="7.5" customHeight="1"/>
    <row r="37" spans="2:5" ht="15.75">
      <c r="B37" s="4" t="s">
        <v>47</v>
      </c>
      <c r="E37" s="20">
        <f>E22*E24*E35</f>
        <v>43626.319928000004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20">
      <selection activeCell="C37" sqref="C37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206</v>
      </c>
    </row>
    <row r="7" ht="3.75" customHeight="1">
      <c r="A7" s="19"/>
    </row>
    <row r="8" spans="1:2" ht="12.75">
      <c r="A8" s="19" t="s">
        <v>9</v>
      </c>
      <c r="B8" t="s">
        <v>207</v>
      </c>
    </row>
    <row r="9" ht="3.75" customHeight="1">
      <c r="A9" s="19"/>
    </row>
    <row r="10" spans="1:2" ht="12.75">
      <c r="A10" s="19" t="s">
        <v>10</v>
      </c>
      <c r="B10" t="s">
        <v>208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50</v>
      </c>
      <c r="E14">
        <f>IF(C14="Yes",200,IF(C14="Visible discharge",50,IF(C14="No",0)))</f>
        <v>0</v>
      </c>
    </row>
    <row r="15" ht="3.75" customHeight="1" thickBot="1"/>
    <row r="16" spans="2:5" ht="26.25" thickBot="1">
      <c r="B16" s="6" t="s">
        <v>161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31</v>
      </c>
      <c r="E20">
        <f>IF(C20="&lt;10m",10,IF(C20="10 - 30m",5,IF(C20="&gt;30m",1)))</f>
        <v>10</v>
      </c>
    </row>
    <row r="21" ht="3.75" customHeight="1"/>
    <row r="22" spans="2:5" ht="12.75">
      <c r="B22" s="3" t="s">
        <v>4</v>
      </c>
      <c r="E22" s="3">
        <f>E14+E16+(E19*E20)</f>
        <v>400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5.6169958455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49</v>
      </c>
      <c r="E28" s="27">
        <f>IF(C28="Yes",50,0)</f>
        <v>50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68</v>
      </c>
      <c r="E32">
        <f>IF(C32="Observed (fishing or boating or swimming, etc.)",5,IF(C32="Not observed",0))</f>
        <v>0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80</v>
      </c>
    </row>
    <row r="37" ht="7.5" customHeight="1"/>
    <row r="38" spans="2:5" ht="15.75">
      <c r="B38" s="4" t="s">
        <v>76</v>
      </c>
      <c r="E38" s="20">
        <f>E22*E24*E36</f>
        <v>179743.86705600002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7">
      <selection activeCell="B4" sqref="B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206</v>
      </c>
    </row>
    <row r="7" ht="3.75" customHeight="1">
      <c r="A7" s="19"/>
    </row>
    <row r="8" spans="1:2" ht="12.75">
      <c r="A8" s="19" t="s">
        <v>9</v>
      </c>
      <c r="B8" t="s">
        <v>209</v>
      </c>
    </row>
    <row r="9" ht="3.75" customHeight="1">
      <c r="A9" s="19"/>
    </row>
    <row r="10" spans="1:2" ht="12.75">
      <c r="A10" s="19" t="s">
        <v>10</v>
      </c>
      <c r="B10" t="s">
        <v>208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162</v>
      </c>
      <c r="E16">
        <f>IF(C16="High dust potential (&lt;50% cover or screening)",300,IF(C16="Moderate dust potential (50-75% cover)",200,IF(C16="Low dust potential (75-95% cover)",100,IF(C16="No dust potential (&gt;95% cover)",10))))</f>
        <v>200</v>
      </c>
    </row>
    <row r="17" ht="3.75" customHeight="1"/>
    <row r="18" spans="2:5" ht="12.75">
      <c r="B18" s="3" t="s">
        <v>4</v>
      </c>
      <c r="E18" s="3">
        <f>E14+E16</f>
        <v>200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0.00399879236</v>
      </c>
    </row>
    <row r="21" ht="7.5" customHeight="1"/>
    <row r="22" spans="1:5" ht="12.75">
      <c r="A22" s="3" t="s">
        <v>2</v>
      </c>
      <c r="B22" t="s">
        <v>80</v>
      </c>
      <c r="C22">
        <v>19</v>
      </c>
      <c r="E22">
        <f>IF(C22=0,0,IF(C22&lt;10,1,IF(C22&lt;30,10,IF(C22&lt;100,30,IF(C22&lt;300,100,IF(C22&lt;1000,300,IF(C22&lt;3000,1000,IF(C22&lt;10000,3000,10000))))))))</f>
        <v>10</v>
      </c>
    </row>
    <row r="23" ht="3.75" customHeight="1"/>
    <row r="24" spans="2:5" ht="12.75">
      <c r="B24" s="6" t="s">
        <v>96</v>
      </c>
      <c r="C24" s="10">
        <v>301</v>
      </c>
      <c r="D24" s="10"/>
      <c r="E24" s="10">
        <f>IF(C24&lt;100,20,IF(C24&lt;200,15,IF(C24&lt;300,10,5)))</f>
        <v>5</v>
      </c>
    </row>
    <row r="25" ht="3.75" customHeight="1"/>
    <row r="26" spans="2:5" ht="25.5">
      <c r="B26" s="6" t="s">
        <v>144</v>
      </c>
      <c r="C26" s="10" t="s">
        <v>49</v>
      </c>
      <c r="D26" s="10"/>
      <c r="E26" s="10">
        <f>IF(C26="Yes",20,IF(C26="No",0))</f>
        <v>20</v>
      </c>
    </row>
    <row r="27" ht="3.75" customHeight="1"/>
    <row r="28" spans="2:5" ht="12.75">
      <c r="B28" s="3" t="s">
        <v>37</v>
      </c>
      <c r="E28" s="3">
        <f>E22+E24+E26</f>
        <v>35</v>
      </c>
    </row>
    <row r="29" ht="7.5" customHeight="1"/>
    <row r="30" spans="2:5" ht="15.75">
      <c r="B30" s="4" t="s">
        <v>83</v>
      </c>
      <c r="E30" s="20">
        <f>E18*E20*E28</f>
        <v>27.991546519999996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206</v>
      </c>
    </row>
    <row r="7" ht="3.75" customHeight="1">
      <c r="A7" s="19"/>
    </row>
    <row r="8" spans="1:2" ht="12.75">
      <c r="A8" s="19" t="s">
        <v>9</v>
      </c>
      <c r="B8" t="s">
        <v>207</v>
      </c>
    </row>
    <row r="9" ht="3.75" customHeight="1">
      <c r="A9" s="19"/>
    </row>
    <row r="10" spans="1:2" ht="12.75">
      <c r="A10" s="19" t="s">
        <v>10</v>
      </c>
      <c r="B10" t="s">
        <v>208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50</v>
      </c>
      <c r="E15" s="10">
        <f>IF(C15="Yes",200,IF(C15="No",0))</f>
        <v>0</v>
      </c>
    </row>
    <row r="16" spans="2:5" ht="38.25">
      <c r="B16" s="6" t="s">
        <v>87</v>
      </c>
      <c r="C16" t="s">
        <v>50</v>
      </c>
      <c r="E16" s="10">
        <f>IF(C16="Yes",200,IF(C16="No",0))</f>
        <v>0</v>
      </c>
    </row>
    <row r="17" ht="3.75" customHeight="1"/>
    <row r="18" ht="12.75">
      <c r="B18" t="s">
        <v>3</v>
      </c>
    </row>
    <row r="19" spans="2:5" ht="12.75">
      <c r="B19" s="10" t="s">
        <v>89</v>
      </c>
      <c r="C19" s="6" t="s">
        <v>93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5</v>
      </c>
    </row>
    <row r="20" spans="2:5" ht="38.25">
      <c r="B20" s="10" t="s">
        <v>133</v>
      </c>
      <c r="C20" s="6" t="s">
        <v>136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0.7</v>
      </c>
    </row>
    <row r="21" spans="2:5" ht="12.75">
      <c r="B21" t="s">
        <v>95</v>
      </c>
      <c r="C21">
        <v>499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70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0.00399879236</v>
      </c>
    </row>
    <row r="26" ht="7.5" customHeight="1"/>
    <row r="27" spans="1:5" ht="12.75">
      <c r="A27" s="3" t="s">
        <v>2</v>
      </c>
      <c r="B27" t="s">
        <v>97</v>
      </c>
      <c r="C27">
        <v>44</v>
      </c>
      <c r="E27">
        <f>IF(C27=0,0,IF(C27&lt;10,1,IF(C27&lt;30,10,IF(C27&lt;100,30,IF(C27&lt;300,100,IF(C27&lt;1000,300,IF(C27&lt;3000,1000,IF(C27&lt;10000,3000,10000))))))))</f>
        <v>30</v>
      </c>
    </row>
    <row r="28" ht="3.75" customHeight="1"/>
    <row r="29" spans="2:5" ht="12.75">
      <c r="B29" t="s">
        <v>101</v>
      </c>
      <c r="C29">
        <v>499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173</v>
      </c>
      <c r="E31">
        <f>IF(C31="Predominantly working outside",200,IF(C31="Farmers",100,IF(C31="Predominantly working inside",50,IF(C31="No workers",0))))</f>
        <v>100</v>
      </c>
    </row>
    <row r="32" ht="3.75" customHeight="1"/>
    <row r="33" spans="2:5" ht="25.5">
      <c r="B33" s="6" t="s">
        <v>98</v>
      </c>
      <c r="C33" s="10" t="s">
        <v>105</v>
      </c>
      <c r="E33" s="10">
        <f>IF(C33="Highly attractive",100,IF(C33="Moderately attractive",50,IF(C33="Low attractiveness",25,IF(C33="Not attractive",0))))</f>
        <v>50</v>
      </c>
    </row>
    <row r="34" ht="3.75" customHeight="1"/>
    <row r="35" spans="2:5" ht="12.75">
      <c r="B35" s="3" t="s">
        <v>37</v>
      </c>
      <c r="E35" s="3">
        <f>E27+E29+E31+E33</f>
        <v>190</v>
      </c>
    </row>
    <row r="36" ht="7.5" customHeight="1"/>
    <row r="37" spans="2:5" ht="15.75">
      <c r="B37" s="4" t="s">
        <v>99</v>
      </c>
      <c r="E37" s="20">
        <f>E23*E25*E35</f>
        <v>53.183938388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B6" sqref="B6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109</v>
      </c>
      <c r="B6" t="s">
        <v>206</v>
      </c>
    </row>
    <row r="7" ht="3.75" customHeight="1">
      <c r="A7" s="19"/>
    </row>
    <row r="8" spans="1:2" ht="12.75">
      <c r="A8" s="19" t="s">
        <v>9</v>
      </c>
      <c r="B8" t="s">
        <v>207</v>
      </c>
    </row>
    <row r="9" ht="3.75" customHeight="1">
      <c r="A9" s="19"/>
    </row>
    <row r="10" spans="1:2" ht="12.75">
      <c r="A10" s="19" t="s">
        <v>10</v>
      </c>
      <c r="B10" t="s">
        <v>208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43626.319928000004</v>
      </c>
    </row>
    <row r="14" ht="7.5" customHeight="1"/>
    <row r="15" spans="2:3" ht="12.75">
      <c r="B15" t="s">
        <v>112</v>
      </c>
      <c r="C15" s="16">
        <f>'3. Surface Water'!E38</f>
        <v>179743.86705600002</v>
      </c>
    </row>
    <row r="16" ht="7.5" customHeight="1"/>
    <row r="17" spans="2:3" ht="12.75">
      <c r="B17" t="s">
        <v>113</v>
      </c>
      <c r="C17" s="16">
        <f>'4. Air Pathway'!E30</f>
        <v>27.991546519999996</v>
      </c>
    </row>
    <row r="18" ht="7.5" customHeight="1"/>
    <row r="19" spans="2:3" ht="12.75">
      <c r="B19" t="s">
        <v>143</v>
      </c>
      <c r="C19" s="16">
        <f>'5. Direct Contact (waste pile)'!E37</f>
        <v>53.183938388</v>
      </c>
    </row>
    <row r="21" spans="2:3" ht="15.75">
      <c r="B21" s="4" t="s">
        <v>203</v>
      </c>
      <c r="C21" s="20">
        <f>(C13+C15+C17+C19)/100000</f>
        <v>2.2345136246890807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2009-01-28T12:27:04Z</dcterms:modified>
  <cp:category/>
  <cp:version/>
  <cp:contentType/>
  <cp:contentStatus/>
</cp:coreProperties>
</file>