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3120" windowWidth="15300" windowHeight="5355" tabRatio="989" activeTab="0"/>
  </bookViews>
  <sheets>
    <sheet name="1. Waste hazard" sheetId="1" r:id="rId1"/>
    <sheet name="2. Groundwater" sheetId="2" r:id="rId2"/>
    <sheet name="3. Surface Water" sheetId="3" r:id="rId3"/>
    <sheet name="4. Air Pathway" sheetId="4" r:id="rId4"/>
    <sheet name="5. Direct Contact (waste pile)" sheetId="5" r:id="rId5"/>
    <sheet name="6. HMS-SS Score" sheetId="6" r:id="rId6"/>
    <sheet name="7. Lookup Tables" sheetId="7" r:id="rId7"/>
  </sheets>
  <definedNames>
    <definedName name="A_containment">'7. Lookup Tables'!$D$8:$D$11</definedName>
    <definedName name="A_distance">'7. Lookup Tables'!$D$13:$D$17</definedName>
    <definedName name="A_protected_areas">'7. Lookup Tables'!$D$14:$D$15</definedName>
    <definedName name="A_releases">'7. Lookup Tables'!$D$4:$D$5</definedName>
    <definedName name="AquiferType">'7. Lookup Tables'!$B$20:$B$30</definedName>
    <definedName name="Conditions_of_restrictions">'7. Lookup Tables'!$E$18:$E$21</definedName>
    <definedName name="DCP_access">'7. Lookup Tables'!$E$12:$E$15</definedName>
    <definedName name="DCP_attractiveness">'7. Lookup Tables'!$E$30:$E$33</definedName>
    <definedName name="DCP_observed">'7. Lookup Tables'!$E$4:$E$5</definedName>
    <definedName name="DCP_onsite_workers">'7. Lookup Tables'!$E$36:$E$39</definedName>
    <definedName name="DCP_recreational">'7. Lookup Tables'!$E$8:$E$9</definedName>
    <definedName name="DCP_workers">'7. Lookup Tables'!$E$24:$E$26</definedName>
    <definedName name="DCS_exposure">'7. Lookup Tables'!$F$4:$F$5</definedName>
    <definedName name="DCS_receptors">'7. Lookup Tables'!$F$8:$F$9</definedName>
    <definedName name="DepthToWaterTable">'7. Lookup Tables'!$B$15:$B$17</definedName>
    <definedName name="GW_Vulnerability">'7. Lookup Tables'!$B$33:$B$39</definedName>
    <definedName name="Marine">'7. Lookup Tables'!$A$8:$A$9</definedName>
    <definedName name="_xlnm.Print_Area" localSheetId="1">'2. Groundwater'!$A$1:$E$37</definedName>
    <definedName name="_xlnm.Print_Area" localSheetId="2">'3. Surface Water'!$A$1:$E$38</definedName>
    <definedName name="_xlnm.Print_Area" localSheetId="3">'4. Air Pathway'!$A$1:$E$30</definedName>
    <definedName name="_xlnm.Print_Area" localSheetId="4">'5. Direct Contact (waste pile)'!$A$1:$E$37</definedName>
    <definedName name="_xlnm.Print_Area" localSheetId="5">'6. HMS-SS Score'!$A$1:$C$19</definedName>
    <definedName name="Releases">'7. Lookup Tables'!$B$4:$B$5</definedName>
    <definedName name="SiteContainment">'7. Lookup Tables'!$B$8:$B$12</definedName>
    <definedName name="SW_containment">'7. Lookup Tables'!$C$13:$C$16</definedName>
    <definedName name="SW_distance">'7. Lookup Tables'!$C$19:$C$21</definedName>
    <definedName name="SW_exceedances">'7. Lookup Tables'!$C$9:$C$10</definedName>
    <definedName name="SW_fishery">'7. Lookup Tables'!$C$24:$C$25</definedName>
    <definedName name="SW_livestock">'7. Lookup Tables'!$C$36:$C$37</definedName>
    <definedName name="SW_protected_area">'7. Lookup Tables'!$C$32:$C$33</definedName>
    <definedName name="SW_recreational">'7. Lookup Tables'!$C$28:$C$29</definedName>
    <definedName name="SW_releases">'7. Lookup Tables'!$C$4:$C$6</definedName>
    <definedName name="Waste_type">'7. Lookup Tables'!$A$4:$A$5</definedName>
  </definedNames>
  <calcPr fullCalcOnLoad="1"/>
</workbook>
</file>

<file path=xl/sharedStrings.xml><?xml version="1.0" encoding="utf-8"?>
<sst xmlns="http://schemas.openxmlformats.org/spreadsheetml/2006/main" count="352" uniqueCount="209">
  <si>
    <t>Likelihood of release</t>
  </si>
  <si>
    <t>Hazard</t>
  </si>
  <si>
    <t>Receptors</t>
  </si>
  <si>
    <t>Potential to release</t>
  </si>
  <si>
    <t>Likelihood of release SCORE</t>
  </si>
  <si>
    <t>Score</t>
  </si>
  <si>
    <t>Input</t>
  </si>
  <si>
    <t>Waste pile or discharge ID:</t>
  </si>
  <si>
    <t>Site Name:</t>
  </si>
  <si>
    <t>Date scored:</t>
  </si>
  <si>
    <t>Scored by:</t>
  </si>
  <si>
    <t>Rk - Karstified</t>
  </si>
  <si>
    <t>Rg - Extensive sand/gravel</t>
  </si>
  <si>
    <t>Rkc - Karstified, dominated by conduit flow</t>
  </si>
  <si>
    <t>Rkd - Karstified, dominated by diffuse flow</t>
  </si>
  <si>
    <t>Rf - Fissured bedrock</t>
  </si>
  <si>
    <t>Lm - Generally moderately productive</t>
  </si>
  <si>
    <t>Ll - Moderately productive only in local zones</t>
  </si>
  <si>
    <t>Lk - Locally important karstified aquifer</t>
  </si>
  <si>
    <t>Lg - sand/gravel</t>
  </si>
  <si>
    <t>Pl - Generally unproductive except for local zones</t>
  </si>
  <si>
    <t>Pu - Generally unproductive</t>
  </si>
  <si>
    <t>AquiferType</t>
  </si>
  <si>
    <t>No containment</t>
  </si>
  <si>
    <t>Presence of ONE of the following: berm, liner, run-on diversions or vegetated cover</t>
  </si>
  <si>
    <t>Presence of TWO of the following: berm, liner, run-on diversions or vegetated cover</t>
  </si>
  <si>
    <t>Presence of THREE of the following: berm, liner, run-on diversions or vegetated cover</t>
  </si>
  <si>
    <t>Completely contained - presence of ALL FOUR of the following: berm, liner, run-on diversions or vegetated cover</t>
  </si>
  <si>
    <t>Site containment</t>
  </si>
  <si>
    <t xml:space="preserve">     Containment at site (select from drop down list)</t>
  </si>
  <si>
    <t>Depth to water table</t>
  </si>
  <si>
    <t>&lt;10m</t>
  </si>
  <si>
    <t>10 - 30m</t>
  </si>
  <si>
    <t>&gt;30m</t>
  </si>
  <si>
    <t>Aquifer category (select from drop down list)</t>
  </si>
  <si>
    <t>No. of wells within 1km (enter no. of wells from CSO statistics adjusted for area from GIS)</t>
  </si>
  <si>
    <t>Basic receptor score</t>
  </si>
  <si>
    <t>Receptor SCORE</t>
  </si>
  <si>
    <t>Vulnerability of groundwater adjustment</t>
  </si>
  <si>
    <t>Vunerability</t>
  </si>
  <si>
    <t>Extreme (rock near surface or karst)</t>
  </si>
  <si>
    <t>Extreme</t>
  </si>
  <si>
    <t>High</t>
  </si>
  <si>
    <t>High to low</t>
  </si>
  <si>
    <t>Moderate</t>
  </si>
  <si>
    <t>Low</t>
  </si>
  <si>
    <t>No data</t>
  </si>
  <si>
    <t>GROUNDWATER SCORE</t>
  </si>
  <si>
    <t>Releases</t>
  </si>
  <si>
    <t>Yes</t>
  </si>
  <si>
    <t>No</t>
  </si>
  <si>
    <t>Groundwater Pathway</t>
  </si>
  <si>
    <t>Observed release (select from drop down list)</t>
  </si>
  <si>
    <t>Surface Water Pathway</t>
  </si>
  <si>
    <t>Factor</t>
  </si>
  <si>
    <t>Air Pathway</t>
  </si>
  <si>
    <t>Direct Contact  (Waste piles)</t>
  </si>
  <si>
    <t>Direct Contact (stream seds)</t>
  </si>
  <si>
    <t>Exceedances</t>
  </si>
  <si>
    <t>Containment</t>
  </si>
  <si>
    <t xml:space="preserve">     Distance from waste pile or discharge to nearest surface water drainage (select from drop down list)</t>
  </si>
  <si>
    <t>Other users</t>
  </si>
  <si>
    <t xml:space="preserve">     Fishery class (select from drop down list)</t>
  </si>
  <si>
    <t xml:space="preserve">     Recreational use (select from drop down list)</t>
  </si>
  <si>
    <t xml:space="preserve">     Protected area status (select from drop down list)</t>
  </si>
  <si>
    <t xml:space="preserve">     Livestock watering (select from drop down list)</t>
  </si>
  <si>
    <t>Salmonid</t>
  </si>
  <si>
    <t>No classification</t>
  </si>
  <si>
    <t>Not observed</t>
  </si>
  <si>
    <t>Other users - recreational use</t>
  </si>
  <si>
    <t>Other users - fisheries</t>
  </si>
  <si>
    <t>Other users - protected area status</t>
  </si>
  <si>
    <t>Other users - livestock watering</t>
  </si>
  <si>
    <t>Yes (National Park, SAC, NHA)</t>
  </si>
  <si>
    <t>Observed (fishing or boating or swimming, etc.)</t>
  </si>
  <si>
    <t>No designation</t>
  </si>
  <si>
    <t>SURFACE WATER SCORE</t>
  </si>
  <si>
    <t>Total No. of persons using surface water for drinking from all abstractions within 10km radius</t>
  </si>
  <si>
    <t>Yes (dust blow observed, evidence of waste blown from a pile, reliable witness accounts)</t>
  </si>
  <si>
    <t>Potential to release - containment at the site</t>
  </si>
  <si>
    <t>Population within 1km of the waste</t>
  </si>
  <si>
    <t>Protected areas</t>
  </si>
  <si>
    <t>Unknown</t>
  </si>
  <si>
    <t>AIR PATHWAY SCORE</t>
  </si>
  <si>
    <t xml:space="preserve">Observed exposure </t>
  </si>
  <si>
    <t>Observed exposure</t>
  </si>
  <si>
    <t xml:space="preserve">     Residence within 250m of the waste pile (select from the drop down list)</t>
  </si>
  <si>
    <t xml:space="preserve">     Recreational activities taking place at the site (direct observation or evidence, eg, bike tracks.  Select from the drop down list.</t>
  </si>
  <si>
    <t>Recreational activities</t>
  </si>
  <si>
    <t xml:space="preserve">     Site accessibility (select from the drop down list)</t>
  </si>
  <si>
    <t>Accessibility</t>
  </si>
  <si>
    <t>Easily accessible (no fences, gates or signs)</t>
  </si>
  <si>
    <t>Moderately accessible (barbed wire fences, road gated, signage)</t>
  </si>
  <si>
    <t>Difficult access (chain link fence, road gated and locked)</t>
  </si>
  <si>
    <t>Not accessible (site completely fenced, access road gated and locked, on site security within 250m of the waste piles)</t>
  </si>
  <si>
    <t xml:space="preserve">     Distance to nearest residence (enter value in metres)</t>
  </si>
  <si>
    <t>Distance to the nearest residence (enter value in metres)</t>
  </si>
  <si>
    <t>Population within 2km of the site (enter number).</t>
  </si>
  <si>
    <t>Attractiveness of the site for recreational use (select from the drop down list).</t>
  </si>
  <si>
    <t>DIRECT CONTACT PATHWAY WASTE PILE SCORE</t>
  </si>
  <si>
    <t>No workers</t>
  </si>
  <si>
    <t>Distance to the nearest residence (enter value in metres).</t>
  </si>
  <si>
    <t>On site workers (select from the drop down list).</t>
  </si>
  <si>
    <t>Attractiveness</t>
  </si>
  <si>
    <t>Highly attractive</t>
  </si>
  <si>
    <t>Moderately attractive</t>
  </si>
  <si>
    <t>Low attractiveness</t>
  </si>
  <si>
    <t>Not attractive</t>
  </si>
  <si>
    <t>Geological Survey of Ireland and The Environmental Protection Agency©</t>
  </si>
  <si>
    <t>Waste pile ID:</t>
  </si>
  <si>
    <t>Pathway</t>
  </si>
  <si>
    <t>Groundwater</t>
  </si>
  <si>
    <t>Surface water</t>
  </si>
  <si>
    <t>Air</t>
  </si>
  <si>
    <t>Quantity</t>
  </si>
  <si>
    <t>Waste type</t>
  </si>
  <si>
    <t>Hazard scoring</t>
  </si>
  <si>
    <t>Solid</t>
  </si>
  <si>
    <t>Liquid</t>
  </si>
  <si>
    <r>
      <t>Volume of solid waste pile (enter value in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)</t>
    </r>
  </si>
  <si>
    <r>
      <t>Area (enter value in 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</t>
    </r>
  </si>
  <si>
    <t>Chemical characterization</t>
  </si>
  <si>
    <t>Soil and sediment</t>
  </si>
  <si>
    <t>Surface water and groundwater</t>
  </si>
  <si>
    <t>Human ingestion</t>
  </si>
  <si>
    <t>Livestock</t>
  </si>
  <si>
    <t>Eco Aquatic</t>
  </si>
  <si>
    <t>Eco Salt - Aquatic</t>
  </si>
  <si>
    <t>Totals</t>
  </si>
  <si>
    <t>Groundwater Pathway Hazard Score</t>
  </si>
  <si>
    <t>Surface water Pathway Hazard Score</t>
  </si>
  <si>
    <t>Air Pathway Hazard Score</t>
  </si>
  <si>
    <t>Direct Contact (waste piles) Pathway Hazard Score</t>
  </si>
  <si>
    <t xml:space="preserve">     Condition of restrictions (select from drop down list)</t>
  </si>
  <si>
    <t>Condition of restrictions</t>
  </si>
  <si>
    <t>Well maintained, no breaches</t>
  </si>
  <si>
    <t>Small animals can access with ease, Humans and animals can access with difficulty.  Vehicles cannot gain entry.  Less than three breaches.</t>
  </si>
  <si>
    <t>Small animals, human and livestock can access with ease.  Vehicles* can enter.  Less than five breaches.</t>
  </si>
  <si>
    <t>Hazard SCORE (value automatically imported from WASTE HAZARD worksheet)</t>
  </si>
  <si>
    <t>Predominantly working outside</t>
  </si>
  <si>
    <t>Predominantly working inside</t>
  </si>
  <si>
    <t>Livestock observed in stream or other signs, eg, hoof marks</t>
  </si>
  <si>
    <t xml:space="preserve">     Depth to water table (enter value in metres)</t>
  </si>
  <si>
    <t>Direct Contact (waste piles)</t>
  </si>
  <si>
    <t>Protected areas (NHAs, SPAs, SACs, Nature Reserves or National Parks)</t>
  </si>
  <si>
    <t>Antimony</t>
  </si>
  <si>
    <t>Arsenic</t>
  </si>
  <si>
    <t>Barium</t>
  </si>
  <si>
    <t>Cadmium</t>
  </si>
  <si>
    <t>Chromium</t>
  </si>
  <si>
    <t>Iron</t>
  </si>
  <si>
    <t>Lead</t>
  </si>
  <si>
    <t>Manganese</t>
  </si>
  <si>
    <t>Mercury</t>
  </si>
  <si>
    <t>Nickel</t>
  </si>
  <si>
    <t>Selenium</t>
  </si>
  <si>
    <t>Silver</t>
  </si>
  <si>
    <t>Thorium</t>
  </si>
  <si>
    <t>Uranium</t>
  </si>
  <si>
    <t>Vanadium</t>
  </si>
  <si>
    <t>Zinc</t>
  </si>
  <si>
    <t>Exceedances of water standards (select from drop down list)</t>
  </si>
  <si>
    <t>Moderate dust potential (50-75% cover)</t>
  </si>
  <si>
    <t>Low dust potential (75-95% cover)</t>
  </si>
  <si>
    <t>No dust potential (&gt;95% cover)</t>
  </si>
  <si>
    <t>Presence of ONE of the following: dams, diversions, pit lakes and sediment basins or traps</t>
  </si>
  <si>
    <t>Presence of TWO of the following: dams, diversions, pit lakes and sediment basins or traps</t>
  </si>
  <si>
    <t>Presence of all THREE of the following: dams, diversions, pit lakes and sediment basins or traps</t>
  </si>
  <si>
    <t>Total Hazard Score</t>
  </si>
  <si>
    <t>Is there an observed discharge to sea?</t>
  </si>
  <si>
    <t>Is there a local stream/drainage within 100m?</t>
  </si>
  <si>
    <t>Distance to nearest surface water drainage.</t>
  </si>
  <si>
    <t>High dust potential (&lt;50% cover or screening)</t>
  </si>
  <si>
    <t>Farmers</t>
  </si>
  <si>
    <t>Observed discharge</t>
  </si>
  <si>
    <t>workers</t>
  </si>
  <si>
    <t>Acidity</t>
  </si>
  <si>
    <t>On-site workers</t>
  </si>
  <si>
    <t>Sb (enter Median value in ppm)</t>
  </si>
  <si>
    <t>As (enter Median value in ppm)</t>
  </si>
  <si>
    <t>Ba (enter Median value in ppm)</t>
  </si>
  <si>
    <r>
      <t>Cd (enter Median</t>
    </r>
    <r>
      <rPr>
        <sz val="10"/>
        <rFont val="Arial"/>
        <family val="2"/>
      </rPr>
      <t xml:space="preserve"> value in ppm)</t>
    </r>
  </si>
  <si>
    <t>Cr (enter Median value in ppm)</t>
  </si>
  <si>
    <t>Fe (enter Median value in ppm)</t>
  </si>
  <si>
    <t>Pb (enter Median value in ppm)</t>
  </si>
  <si>
    <t>Mn (enter Median value in ppm)</t>
  </si>
  <si>
    <t>Hg (enter Median value in ppm)</t>
  </si>
  <si>
    <t>Ni (enter Median value in ppm)</t>
  </si>
  <si>
    <t>Se (enter Median value in ppm)</t>
  </si>
  <si>
    <t>Ag (enter Median value in ppm)</t>
  </si>
  <si>
    <r>
      <t>Th (enter Median</t>
    </r>
    <r>
      <rPr>
        <sz val="10"/>
        <rFont val="Arial"/>
        <family val="2"/>
      </rPr>
      <t xml:space="preserve"> value in ppm)</t>
    </r>
  </si>
  <si>
    <t>U (enter Median value in ppm)</t>
  </si>
  <si>
    <t>V (enter Median value in ppm)</t>
  </si>
  <si>
    <t>Zn (enter Median value in ppm)</t>
  </si>
  <si>
    <t>Small animals, human and livestock can access with ease.  Vehicles* can enter or more than five breaches</t>
  </si>
  <si>
    <t>Copper</t>
  </si>
  <si>
    <t>Cu (enter Median value in ppm)</t>
  </si>
  <si>
    <t>Human ingestion &amp; inhalation</t>
  </si>
  <si>
    <t>HMS - Scoring System Solid Mine Waste</t>
  </si>
  <si>
    <t>HMS - SS Groundwater Pathway</t>
  </si>
  <si>
    <t>HMS - SS Surface Water Pathway</t>
  </si>
  <si>
    <t>HMS - SS Air Pathway</t>
  </si>
  <si>
    <t>HMS - SS  Direct Contact Pathway (waste piles)</t>
  </si>
  <si>
    <t>TOTAL HMS-SS SCORE</t>
  </si>
  <si>
    <t>HMS - SS Overall Score for Individual waste pile or discharge</t>
  </si>
  <si>
    <t>Caim</t>
  </si>
  <si>
    <t>15th Sept 2008</t>
  </si>
  <si>
    <t>Fionnuala Ni Mhairtin</t>
  </si>
  <si>
    <t>CAI_SP01b</t>
  </si>
</sst>
</file>

<file path=xl/styles.xml><?xml version="1.0" encoding="utf-8"?>
<styleSheet xmlns="http://schemas.openxmlformats.org/spreadsheetml/2006/main">
  <numFmts count="15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"/>
    <numFmt numFmtId="169" formatCode="0.00000"/>
    <numFmt numFmtId="170" formatCode="#,##0.0000"/>
  </numFmts>
  <fonts count="1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" xfId="0" applyBorder="1" applyAlignment="1">
      <alignment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5" fillId="0" borderId="0" xfId="0" applyFont="1" applyAlignment="1">
      <alignment/>
    </xf>
    <xf numFmtId="3" fontId="2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3" fontId="3" fillId="0" borderId="0" xfId="0" applyNumberFormat="1" applyFont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2" fillId="0" borderId="0" xfId="0" applyFont="1" applyAlignment="1">
      <alignment horizontal="left" wrapText="1"/>
    </xf>
    <xf numFmtId="17" fontId="0" fillId="0" borderId="1" xfId="0" applyNumberFormat="1" applyBorder="1" applyAlignment="1" quotePrefix="1">
      <alignment vertical="center"/>
    </xf>
    <xf numFmtId="0" fontId="2" fillId="0" borderId="0" xfId="0" applyFont="1" applyAlignment="1">
      <alignment vertical="center" wrapText="1"/>
    </xf>
    <xf numFmtId="3" fontId="0" fillId="0" borderId="0" xfId="0" applyNumberFormat="1" applyAlignment="1">
      <alignment vertical="center"/>
    </xf>
    <xf numFmtId="0" fontId="0" fillId="0" borderId="2" xfId="0" applyBorder="1" applyAlignment="1">
      <alignment/>
    </xf>
    <xf numFmtId="16" fontId="0" fillId="0" borderId="0" xfId="0" applyNumberFormat="1" applyAlignment="1">
      <alignment wrapText="1"/>
    </xf>
    <xf numFmtId="17" fontId="0" fillId="0" borderId="0" xfId="0" applyNumberFormat="1" applyAlignment="1">
      <alignment wrapText="1"/>
    </xf>
    <xf numFmtId="3" fontId="0" fillId="0" borderId="0" xfId="0" applyNumberFormat="1" applyAlignment="1">
      <alignment wrapText="1"/>
    </xf>
    <xf numFmtId="0" fontId="0" fillId="0" borderId="0" xfId="0" applyFont="1" applyFill="1" applyAlignment="1">
      <alignment horizontal="right" vertical="center"/>
    </xf>
    <xf numFmtId="0" fontId="7" fillId="0" borderId="0" xfId="0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right"/>
    </xf>
    <xf numFmtId="1" fontId="0" fillId="0" borderId="0" xfId="0" applyNumberFormat="1" applyFont="1" applyAlignment="1">
      <alignment/>
    </xf>
    <xf numFmtId="1" fontId="0" fillId="0" borderId="0" xfId="0" applyNumberFormat="1" applyAlignment="1">
      <alignment/>
    </xf>
    <xf numFmtId="169" fontId="0" fillId="0" borderId="0" xfId="0" applyNumberFormat="1" applyFont="1" applyBorder="1" applyAlignment="1">
      <alignment/>
    </xf>
    <xf numFmtId="0" fontId="2" fillId="0" borderId="0" xfId="0" applyFont="1" applyAlignment="1">
      <alignment horizontal="right" wrapText="1"/>
    </xf>
    <xf numFmtId="170" fontId="2" fillId="0" borderId="0" xfId="0" applyNumberFormat="1" applyFont="1" applyAlignment="1">
      <alignment/>
    </xf>
    <xf numFmtId="1" fontId="0" fillId="0" borderId="1" xfId="0" applyNumberFormat="1" applyBorder="1" applyAlignment="1" quotePrefix="1">
      <alignment/>
    </xf>
    <xf numFmtId="0" fontId="0" fillId="0" borderId="0" xfId="0" applyFont="1" applyAlignment="1">
      <alignment horizontal="left"/>
    </xf>
    <xf numFmtId="0" fontId="0" fillId="0" borderId="0" xfId="0" applyFill="1" applyAlignment="1">
      <alignment vertical="center" wrapText="1"/>
    </xf>
    <xf numFmtId="0" fontId="2" fillId="0" borderId="0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4"/>
  <sheetViews>
    <sheetView tabSelected="1" workbookViewId="0" topLeftCell="A1">
      <selection activeCell="C41" sqref="C41"/>
    </sheetView>
  </sheetViews>
  <sheetFormatPr defaultColWidth="9.140625" defaultRowHeight="12.75"/>
  <cols>
    <col min="1" max="1" width="25.7109375" style="0" customWidth="1"/>
    <col min="2" max="2" width="43.7109375" style="0" customWidth="1"/>
    <col min="3" max="3" width="11.7109375" style="0" customWidth="1"/>
    <col min="4" max="4" width="12.7109375" style="0" customWidth="1"/>
    <col min="5" max="9" width="10.7109375" style="0" customWidth="1"/>
    <col min="10" max="10" width="4.7109375" style="0" customWidth="1"/>
    <col min="11" max="11" width="11.7109375" style="0" customWidth="1"/>
    <col min="12" max="17" width="10.7109375" style="0" customWidth="1"/>
  </cols>
  <sheetData>
    <row r="1" spans="1:9" ht="23.25">
      <c r="A1" s="47" t="s">
        <v>198</v>
      </c>
      <c r="B1" s="47"/>
      <c r="C1" s="47"/>
      <c r="D1" s="47"/>
      <c r="E1" s="47"/>
      <c r="F1" s="47"/>
      <c r="G1" s="47"/>
      <c r="H1" s="47"/>
      <c r="I1" s="47"/>
    </row>
    <row r="2" spans="1:9" ht="15.75">
      <c r="A2" s="48" t="s">
        <v>108</v>
      </c>
      <c r="B2" s="48"/>
      <c r="C2" s="48"/>
      <c r="D2" s="48"/>
      <c r="E2" s="48"/>
      <c r="F2" s="48"/>
      <c r="G2" s="48"/>
      <c r="H2" s="48"/>
      <c r="I2" s="48"/>
    </row>
    <row r="3" ht="3.75" customHeight="1"/>
    <row r="4" spans="1:11" ht="12.75">
      <c r="A4" s="19" t="s">
        <v>8</v>
      </c>
      <c r="B4" t="s">
        <v>205</v>
      </c>
      <c r="D4" s="3" t="s">
        <v>129</v>
      </c>
      <c r="K4">
        <f>K17*(F42+I42)/10000+D44</f>
        <v>83.88781999999999</v>
      </c>
    </row>
    <row r="5" ht="3.75" customHeight="1">
      <c r="A5" s="19"/>
    </row>
    <row r="6" spans="1:11" ht="12.75">
      <c r="A6" s="19" t="s">
        <v>7</v>
      </c>
      <c r="B6" t="s">
        <v>208</v>
      </c>
      <c r="D6" s="3" t="s">
        <v>130</v>
      </c>
      <c r="K6">
        <f>(K17*(F42+G42+I42)+IF(B14="YES",K17*142,0))/10000+D44</f>
        <v>91.08282</v>
      </c>
    </row>
    <row r="7" ht="3.75" customHeight="1">
      <c r="A7" s="19"/>
    </row>
    <row r="8" spans="1:11" ht="12.75">
      <c r="A8" s="19" t="s">
        <v>9</v>
      </c>
      <c r="B8" t="s">
        <v>206</v>
      </c>
      <c r="D8" s="3" t="s">
        <v>131</v>
      </c>
      <c r="K8">
        <f>IF(G20="","ERROR",(I20*D42)/10000)</f>
        <v>0.7174680999999999</v>
      </c>
    </row>
    <row r="9" ht="3.75" customHeight="1">
      <c r="A9" s="19"/>
    </row>
    <row r="10" spans="1:11" ht="12.75">
      <c r="A10" s="19" t="s">
        <v>10</v>
      </c>
      <c r="B10" t="s">
        <v>207</v>
      </c>
      <c r="D10" s="3" t="s">
        <v>132</v>
      </c>
      <c r="K10">
        <f>IF(G20="","ERROR",(I20*D42)/10000)</f>
        <v>0.7174680999999999</v>
      </c>
    </row>
    <row r="11" ht="3.75" customHeight="1"/>
    <row r="12" spans="1:11" ht="12.75">
      <c r="A12" s="19" t="s">
        <v>115</v>
      </c>
      <c r="B12" s="44" t="s">
        <v>117</v>
      </c>
      <c r="D12" s="3" t="s">
        <v>168</v>
      </c>
      <c r="K12">
        <f>(K4+K6+K8+K10)</f>
        <v>176.40557619999998</v>
      </c>
    </row>
    <row r="13" spans="1:4" ht="3.75" customHeight="1">
      <c r="A13" s="19"/>
      <c r="D13" s="3"/>
    </row>
    <row r="14" spans="1:4" ht="25.5">
      <c r="A14" s="41" t="s">
        <v>169</v>
      </c>
      <c r="B14" t="s">
        <v>50</v>
      </c>
      <c r="D14" s="3"/>
    </row>
    <row r="15" ht="7.5" customHeight="1"/>
    <row r="16" ht="12.75">
      <c r="A16" s="3" t="s">
        <v>114</v>
      </c>
    </row>
    <row r="17" spans="2:11" ht="14.25">
      <c r="B17" t="s">
        <v>119</v>
      </c>
      <c r="G17">
        <v>248</v>
      </c>
      <c r="K17">
        <f>IF(G17&gt;=1000000,100,IF(G17&lt;1000,1,(1+G17/10000)))</f>
        <v>1</v>
      </c>
    </row>
    <row r="18" ht="3.75" customHeight="1"/>
    <row r="19" ht="3.75" customHeight="1"/>
    <row r="20" spans="2:9" ht="14.25">
      <c r="B20" t="s">
        <v>120</v>
      </c>
      <c r="G20">
        <v>248</v>
      </c>
      <c r="I20">
        <f>IF(G20&lt;100,0.001,IF(G20&lt;1000,0.01,IF(G20&lt;10000,0.1,IF(G20&lt;100000,1,IF(G20&lt;1000000,10,IF(G20&lt;10000000,100,1000))))))</f>
        <v>0.01</v>
      </c>
    </row>
    <row r="21" ht="18.75" customHeight="1"/>
    <row r="22" spans="4:17" ht="12.75" customHeight="1">
      <c r="D22" s="46" t="s">
        <v>122</v>
      </c>
      <c r="E22" s="46"/>
      <c r="F22" s="46" t="s">
        <v>123</v>
      </c>
      <c r="G22" s="46"/>
      <c r="H22" s="46"/>
      <c r="I22" s="46"/>
      <c r="J22" s="35"/>
      <c r="K22" s="46" t="s">
        <v>122</v>
      </c>
      <c r="L22" s="46"/>
      <c r="M22" s="46" t="s">
        <v>123</v>
      </c>
      <c r="N22" s="46"/>
      <c r="O22" s="46"/>
      <c r="P22" s="46"/>
      <c r="Q22" s="35"/>
    </row>
    <row r="23" spans="1:16" ht="38.25">
      <c r="A23" s="3" t="s">
        <v>121</v>
      </c>
      <c r="C23" s="34"/>
      <c r="D23" s="36" t="s">
        <v>197</v>
      </c>
      <c r="E23" s="36" t="s">
        <v>125</v>
      </c>
      <c r="F23" s="36" t="s">
        <v>124</v>
      </c>
      <c r="G23" s="36" t="s">
        <v>126</v>
      </c>
      <c r="H23" s="36" t="s">
        <v>127</v>
      </c>
      <c r="I23" s="36" t="s">
        <v>125</v>
      </c>
      <c r="K23" s="36" t="s">
        <v>197</v>
      </c>
      <c r="L23" s="36" t="s">
        <v>125</v>
      </c>
      <c r="M23" s="36" t="s">
        <v>124</v>
      </c>
      <c r="N23" s="36" t="s">
        <v>126</v>
      </c>
      <c r="O23" s="36" t="s">
        <v>127</v>
      </c>
      <c r="P23" s="36" t="s">
        <v>125</v>
      </c>
    </row>
    <row r="24" spans="1:16" ht="12.75">
      <c r="A24" t="s">
        <v>145</v>
      </c>
      <c r="B24" s="32" t="s">
        <v>178</v>
      </c>
      <c r="C24" s="40">
        <v>0</v>
      </c>
      <c r="D24" s="38">
        <f aca="true" t="shared" si="0" ref="D24:D40">C24*K24</f>
        <v>0</v>
      </c>
      <c r="E24" s="38">
        <f aca="true" t="shared" si="1" ref="E24:E40">C24*L24</f>
        <v>0</v>
      </c>
      <c r="F24" s="38">
        <f aca="true" t="shared" si="2" ref="F24:F40">C24*M24</f>
        <v>0</v>
      </c>
      <c r="G24" s="38">
        <f aca="true" t="shared" si="3" ref="G24:G40">C24*N24</f>
        <v>0</v>
      </c>
      <c r="H24" s="38">
        <f aca="true" t="shared" si="4" ref="H24:H40">C24*O24</f>
        <v>0</v>
      </c>
      <c r="I24" s="38">
        <f aca="true" t="shared" si="5" ref="I24:I40">C24*P24</f>
        <v>0</v>
      </c>
      <c r="K24" s="37">
        <v>10</v>
      </c>
      <c r="L24" s="37">
        <v>0.1</v>
      </c>
      <c r="M24" s="37">
        <v>10</v>
      </c>
      <c r="N24" s="37">
        <v>0.1</v>
      </c>
      <c r="O24" s="37">
        <v>0.1</v>
      </c>
      <c r="P24" s="37">
        <v>0.1</v>
      </c>
    </row>
    <row r="25" spans="1:16" ht="12.75">
      <c r="A25" s="3" t="s">
        <v>146</v>
      </c>
      <c r="B25" s="32" t="s">
        <v>179</v>
      </c>
      <c r="C25" s="40">
        <v>900</v>
      </c>
      <c r="D25" s="38">
        <f t="shared" si="0"/>
        <v>9000</v>
      </c>
      <c r="E25" s="38">
        <f t="shared" si="1"/>
        <v>90</v>
      </c>
      <c r="F25" s="38">
        <f t="shared" si="2"/>
        <v>9000</v>
      </c>
      <c r="G25" s="38">
        <f t="shared" si="3"/>
        <v>9</v>
      </c>
      <c r="H25" s="38">
        <f t="shared" si="4"/>
        <v>90</v>
      </c>
      <c r="I25" s="38">
        <f t="shared" si="5"/>
        <v>90</v>
      </c>
      <c r="K25" s="37">
        <v>10</v>
      </c>
      <c r="L25" s="37">
        <v>0.1</v>
      </c>
      <c r="M25" s="37">
        <v>10</v>
      </c>
      <c r="N25" s="37">
        <v>0.01</v>
      </c>
      <c r="O25" s="37">
        <v>0.1</v>
      </c>
      <c r="P25" s="37">
        <v>0.1</v>
      </c>
    </row>
    <row r="26" spans="1:16" ht="12.75">
      <c r="A26" t="s">
        <v>147</v>
      </c>
      <c r="B26" s="32" t="s">
        <v>180</v>
      </c>
      <c r="C26" s="40">
        <v>0</v>
      </c>
      <c r="D26" s="38">
        <f t="shared" si="0"/>
        <v>0</v>
      </c>
      <c r="E26" s="38">
        <f t="shared" si="1"/>
        <v>0</v>
      </c>
      <c r="F26" s="38">
        <f t="shared" si="2"/>
        <v>0</v>
      </c>
      <c r="G26" s="38">
        <f t="shared" si="3"/>
        <v>0</v>
      </c>
      <c r="H26" s="38">
        <f t="shared" si="4"/>
        <v>0</v>
      </c>
      <c r="I26" s="38">
        <f t="shared" si="5"/>
        <v>0</v>
      </c>
      <c r="K26" s="37">
        <v>0.01</v>
      </c>
      <c r="L26" s="37">
        <v>0.01</v>
      </c>
      <c r="M26" s="37">
        <v>0.01</v>
      </c>
      <c r="N26" s="37">
        <v>0.001</v>
      </c>
      <c r="O26" s="37">
        <v>0.001</v>
      </c>
      <c r="P26" s="37">
        <v>0.01</v>
      </c>
    </row>
    <row r="27" spans="1:22" ht="12.75">
      <c r="A27" t="s">
        <v>148</v>
      </c>
      <c r="B27" s="32" t="s">
        <v>181</v>
      </c>
      <c r="C27" s="40">
        <v>0</v>
      </c>
      <c r="D27" s="38">
        <f t="shared" si="0"/>
        <v>0</v>
      </c>
      <c r="E27" s="38">
        <f t="shared" si="1"/>
        <v>0</v>
      </c>
      <c r="F27" s="38">
        <f t="shared" si="2"/>
        <v>0</v>
      </c>
      <c r="G27" s="38">
        <f t="shared" si="3"/>
        <v>0</v>
      </c>
      <c r="H27" s="38">
        <f t="shared" si="4"/>
        <v>0</v>
      </c>
      <c r="I27" s="38">
        <f t="shared" si="5"/>
        <v>0</v>
      </c>
      <c r="K27" s="37">
        <v>10</v>
      </c>
      <c r="L27" s="37">
        <v>10</v>
      </c>
      <c r="M27" s="37">
        <v>10</v>
      </c>
      <c r="N27" s="37">
        <v>10</v>
      </c>
      <c r="O27" s="37">
        <v>1</v>
      </c>
      <c r="P27" s="37">
        <v>10</v>
      </c>
      <c r="R27" s="33"/>
      <c r="S27" s="33"/>
      <c r="T27" s="33"/>
      <c r="U27" s="33"/>
      <c r="V27" s="2"/>
    </row>
    <row r="28" spans="1:16" ht="12.75">
      <c r="A28" t="s">
        <v>149</v>
      </c>
      <c r="B28" s="32" t="s">
        <v>182</v>
      </c>
      <c r="C28" s="40">
        <v>0</v>
      </c>
      <c r="D28" s="38">
        <f t="shared" si="0"/>
        <v>0</v>
      </c>
      <c r="E28" s="38">
        <f t="shared" si="1"/>
        <v>0</v>
      </c>
      <c r="F28" s="38">
        <f t="shared" si="2"/>
        <v>0</v>
      </c>
      <c r="G28" s="38">
        <f t="shared" si="3"/>
        <v>0</v>
      </c>
      <c r="H28" s="38">
        <f t="shared" si="4"/>
        <v>0</v>
      </c>
      <c r="I28" s="38">
        <f t="shared" si="5"/>
        <v>0</v>
      </c>
      <c r="K28" s="37">
        <v>10</v>
      </c>
      <c r="L28" s="37">
        <v>0.1</v>
      </c>
      <c r="M28" s="37">
        <v>10</v>
      </c>
      <c r="N28" s="37">
        <v>0.1</v>
      </c>
      <c r="O28" s="37">
        <v>0.1</v>
      </c>
      <c r="P28" s="37">
        <v>0.1</v>
      </c>
    </row>
    <row r="29" spans="1:16" ht="12.75">
      <c r="A29" s="3" t="s">
        <v>195</v>
      </c>
      <c r="B29" s="32" t="s">
        <v>196</v>
      </c>
      <c r="C29" s="40">
        <v>700</v>
      </c>
      <c r="D29" s="38">
        <f t="shared" si="0"/>
        <v>0</v>
      </c>
      <c r="E29" s="38">
        <f t="shared" si="1"/>
        <v>70</v>
      </c>
      <c r="F29" s="38">
        <f t="shared" si="2"/>
        <v>0</v>
      </c>
      <c r="G29" s="38">
        <f t="shared" si="3"/>
        <v>700</v>
      </c>
      <c r="H29" s="38">
        <f t="shared" si="4"/>
        <v>700</v>
      </c>
      <c r="I29" s="38">
        <f t="shared" si="5"/>
        <v>70</v>
      </c>
      <c r="K29" s="37">
        <v>0</v>
      </c>
      <c r="L29" s="37">
        <v>0.1</v>
      </c>
      <c r="M29" s="37">
        <v>0</v>
      </c>
      <c r="N29" s="37">
        <v>1</v>
      </c>
      <c r="O29" s="37">
        <v>1</v>
      </c>
      <c r="P29" s="37">
        <v>0.1</v>
      </c>
    </row>
    <row r="30" spans="1:16" ht="12.75">
      <c r="A30" t="s">
        <v>150</v>
      </c>
      <c r="B30" s="32" t="s">
        <v>183</v>
      </c>
      <c r="C30" s="40">
        <v>48100</v>
      </c>
      <c r="D30" s="38">
        <f t="shared" si="0"/>
        <v>48.1</v>
      </c>
      <c r="E30" s="38">
        <f t="shared" si="1"/>
        <v>481</v>
      </c>
      <c r="F30" s="38">
        <f t="shared" si="2"/>
        <v>48.1</v>
      </c>
      <c r="G30" s="38">
        <f t="shared" si="3"/>
        <v>481</v>
      </c>
      <c r="H30" s="38">
        <f t="shared" si="4"/>
        <v>481</v>
      </c>
      <c r="I30" s="38">
        <f t="shared" si="5"/>
        <v>481</v>
      </c>
      <c r="K30" s="37">
        <v>0.001</v>
      </c>
      <c r="L30" s="37">
        <v>0.01</v>
      </c>
      <c r="M30" s="37">
        <v>0.001</v>
      </c>
      <c r="N30" s="37">
        <v>0.01</v>
      </c>
      <c r="O30" s="37">
        <v>0.01</v>
      </c>
      <c r="P30" s="37">
        <v>0.01</v>
      </c>
    </row>
    <row r="31" spans="1:22" ht="12.75">
      <c r="A31" t="s">
        <v>151</v>
      </c>
      <c r="B31" s="32" t="s">
        <v>184</v>
      </c>
      <c r="C31" s="40">
        <v>70750</v>
      </c>
      <c r="D31" s="38">
        <f t="shared" si="0"/>
        <v>707500</v>
      </c>
      <c r="E31" s="38">
        <f t="shared" si="1"/>
        <v>70750</v>
      </c>
      <c r="F31" s="38">
        <f t="shared" si="2"/>
        <v>707500</v>
      </c>
      <c r="G31" s="38">
        <f t="shared" si="3"/>
        <v>70750</v>
      </c>
      <c r="H31" s="38">
        <f t="shared" si="4"/>
        <v>70750</v>
      </c>
      <c r="I31" s="38">
        <f t="shared" si="5"/>
        <v>70750</v>
      </c>
      <c r="K31" s="37">
        <v>10</v>
      </c>
      <c r="L31" s="37">
        <v>1</v>
      </c>
      <c r="M31" s="37">
        <v>10</v>
      </c>
      <c r="N31" s="37">
        <v>1</v>
      </c>
      <c r="O31" s="37">
        <v>1</v>
      </c>
      <c r="P31" s="37">
        <v>1</v>
      </c>
      <c r="R31" s="33"/>
      <c r="S31" s="33"/>
      <c r="T31" s="33"/>
      <c r="U31" s="33"/>
      <c r="V31" s="2"/>
    </row>
    <row r="32" spans="1:16" ht="12.75">
      <c r="A32" s="3" t="s">
        <v>152</v>
      </c>
      <c r="B32" s="32" t="s">
        <v>185</v>
      </c>
      <c r="C32" s="40">
        <v>9100</v>
      </c>
      <c r="D32" s="38">
        <f t="shared" si="0"/>
        <v>910</v>
      </c>
      <c r="E32" s="38">
        <f t="shared" si="1"/>
        <v>9.1</v>
      </c>
      <c r="F32" s="38">
        <f t="shared" si="2"/>
        <v>910</v>
      </c>
      <c r="G32" s="38">
        <f t="shared" si="3"/>
        <v>0</v>
      </c>
      <c r="H32" s="38">
        <f t="shared" si="4"/>
        <v>0</v>
      </c>
      <c r="I32" s="38">
        <f t="shared" si="5"/>
        <v>9.1</v>
      </c>
      <c r="K32" s="37">
        <v>0.1</v>
      </c>
      <c r="L32" s="37">
        <v>0.001</v>
      </c>
      <c r="M32" s="37">
        <v>0.1</v>
      </c>
      <c r="N32" s="37">
        <v>0</v>
      </c>
      <c r="O32" s="37">
        <v>0</v>
      </c>
      <c r="P32" s="37">
        <v>0.001</v>
      </c>
    </row>
    <row r="33" spans="1:16" ht="12.75">
      <c r="A33" t="s">
        <v>153</v>
      </c>
      <c r="B33" s="32" t="s">
        <v>186</v>
      </c>
      <c r="C33" s="40">
        <v>0</v>
      </c>
      <c r="D33" s="38">
        <f t="shared" si="0"/>
        <v>0</v>
      </c>
      <c r="E33" s="38">
        <f t="shared" si="1"/>
        <v>0</v>
      </c>
      <c r="F33" s="38">
        <f t="shared" si="2"/>
        <v>0</v>
      </c>
      <c r="G33" s="38">
        <f t="shared" si="3"/>
        <v>0</v>
      </c>
      <c r="H33" s="38">
        <f t="shared" si="4"/>
        <v>0</v>
      </c>
      <c r="I33" s="38">
        <f t="shared" si="5"/>
        <v>0</v>
      </c>
      <c r="K33" s="37">
        <v>10</v>
      </c>
      <c r="L33" s="37">
        <v>1</v>
      </c>
      <c r="M33" s="37">
        <v>10</v>
      </c>
      <c r="N33" s="37">
        <v>10</v>
      </c>
      <c r="O33" s="37">
        <v>10</v>
      </c>
      <c r="P33" s="37">
        <v>1</v>
      </c>
    </row>
    <row r="34" spans="1:16" ht="12.75">
      <c r="A34" t="s">
        <v>154</v>
      </c>
      <c r="B34" s="32" t="s">
        <v>187</v>
      </c>
      <c r="C34" s="40">
        <v>0</v>
      </c>
      <c r="D34" s="38">
        <f t="shared" si="0"/>
        <v>0</v>
      </c>
      <c r="E34" s="38">
        <f t="shared" si="1"/>
        <v>0</v>
      </c>
      <c r="F34" s="38">
        <f t="shared" si="2"/>
        <v>0</v>
      </c>
      <c r="G34" s="38">
        <f t="shared" si="3"/>
        <v>0</v>
      </c>
      <c r="H34" s="38">
        <f t="shared" si="4"/>
        <v>0</v>
      </c>
      <c r="I34" s="38">
        <f t="shared" si="5"/>
        <v>0</v>
      </c>
      <c r="K34" s="37">
        <v>10</v>
      </c>
      <c r="L34" s="37">
        <v>0.1</v>
      </c>
      <c r="M34" s="37">
        <v>10</v>
      </c>
      <c r="N34" s="37">
        <v>0.1</v>
      </c>
      <c r="O34" s="37">
        <v>1</v>
      </c>
      <c r="P34" s="37">
        <v>0.1</v>
      </c>
    </row>
    <row r="35" spans="1:16" ht="12.75">
      <c r="A35" t="s">
        <v>155</v>
      </c>
      <c r="B35" s="32" t="s">
        <v>188</v>
      </c>
      <c r="C35" s="40">
        <v>0</v>
      </c>
      <c r="D35" s="38">
        <f t="shared" si="0"/>
        <v>0</v>
      </c>
      <c r="E35" s="38">
        <f t="shared" si="1"/>
        <v>0</v>
      </c>
      <c r="F35" s="38">
        <f t="shared" si="2"/>
        <v>0</v>
      </c>
      <c r="G35" s="38">
        <f t="shared" si="3"/>
        <v>0</v>
      </c>
      <c r="H35" s="38">
        <f t="shared" si="4"/>
        <v>0</v>
      </c>
      <c r="I35" s="38">
        <f t="shared" si="5"/>
        <v>0</v>
      </c>
      <c r="K35" s="37">
        <v>0.1</v>
      </c>
      <c r="L35" s="37">
        <v>1</v>
      </c>
      <c r="M35" s="37">
        <v>0.1</v>
      </c>
      <c r="N35" s="37">
        <v>1</v>
      </c>
      <c r="O35" s="37">
        <v>0.1</v>
      </c>
      <c r="P35" s="37">
        <v>1</v>
      </c>
    </row>
    <row r="36" spans="1:22" ht="12.75">
      <c r="A36" s="3" t="s">
        <v>156</v>
      </c>
      <c r="B36" s="32" t="s">
        <v>189</v>
      </c>
      <c r="C36" s="40">
        <v>0</v>
      </c>
      <c r="D36" s="38">
        <f t="shared" si="0"/>
        <v>0</v>
      </c>
      <c r="E36" s="38">
        <f t="shared" si="1"/>
        <v>0</v>
      </c>
      <c r="F36" s="38">
        <f t="shared" si="2"/>
        <v>0</v>
      </c>
      <c r="G36" s="38">
        <f t="shared" si="3"/>
        <v>0</v>
      </c>
      <c r="H36" s="38">
        <f t="shared" si="4"/>
        <v>0</v>
      </c>
      <c r="I36" s="38">
        <f t="shared" si="5"/>
        <v>0</v>
      </c>
      <c r="K36" s="37">
        <v>0.1</v>
      </c>
      <c r="L36" s="37">
        <v>0.01</v>
      </c>
      <c r="M36" s="37">
        <v>0.1</v>
      </c>
      <c r="N36" s="37">
        <v>10</v>
      </c>
      <c r="O36" s="37">
        <v>10</v>
      </c>
      <c r="P36" s="37">
        <v>0.01</v>
      </c>
      <c r="R36" s="2"/>
      <c r="S36" s="2"/>
      <c r="T36" s="2"/>
      <c r="U36" s="2"/>
      <c r="V36" s="2"/>
    </row>
    <row r="37" spans="1:22" ht="12.75">
      <c r="A37" s="3" t="s">
        <v>157</v>
      </c>
      <c r="B37" s="32" t="s">
        <v>190</v>
      </c>
      <c r="C37" s="40">
        <v>0</v>
      </c>
      <c r="D37" s="38">
        <f t="shared" si="0"/>
        <v>0</v>
      </c>
      <c r="E37" s="38">
        <f t="shared" si="1"/>
        <v>0</v>
      </c>
      <c r="F37" s="38">
        <f t="shared" si="2"/>
        <v>0</v>
      </c>
      <c r="G37" s="38">
        <f t="shared" si="3"/>
        <v>0</v>
      </c>
      <c r="H37" s="38">
        <f t="shared" si="4"/>
        <v>0</v>
      </c>
      <c r="I37" s="38">
        <f t="shared" si="5"/>
        <v>0</v>
      </c>
      <c r="K37" s="37">
        <v>10</v>
      </c>
      <c r="L37" s="37">
        <v>0.01</v>
      </c>
      <c r="M37" s="37">
        <v>10</v>
      </c>
      <c r="N37" s="37">
        <v>0.01</v>
      </c>
      <c r="O37" s="37">
        <v>0.01</v>
      </c>
      <c r="P37" s="37">
        <v>0.01</v>
      </c>
      <c r="R37" s="2"/>
      <c r="S37" s="2"/>
      <c r="T37" s="2"/>
      <c r="U37" s="2"/>
      <c r="V37" s="2"/>
    </row>
    <row r="38" spans="1:22" ht="12.75">
      <c r="A38" s="3" t="s">
        <v>158</v>
      </c>
      <c r="B38" s="32" t="s">
        <v>191</v>
      </c>
      <c r="C38" s="40">
        <v>0</v>
      </c>
      <c r="D38" s="38">
        <f t="shared" si="0"/>
        <v>0</v>
      </c>
      <c r="E38" s="38">
        <f t="shared" si="1"/>
        <v>0</v>
      </c>
      <c r="F38" s="38">
        <f t="shared" si="2"/>
        <v>0</v>
      </c>
      <c r="G38" s="38">
        <f t="shared" si="3"/>
        <v>0</v>
      </c>
      <c r="H38" s="38">
        <f t="shared" si="4"/>
        <v>0</v>
      </c>
      <c r="I38" s="38">
        <f t="shared" si="5"/>
        <v>0</v>
      </c>
      <c r="K38" s="37">
        <v>10</v>
      </c>
      <c r="L38" s="37">
        <v>0.01</v>
      </c>
      <c r="M38" s="37">
        <v>10</v>
      </c>
      <c r="N38" s="37">
        <v>0.01</v>
      </c>
      <c r="O38" s="37">
        <v>0.01</v>
      </c>
      <c r="P38" s="37">
        <v>0.01</v>
      </c>
      <c r="R38" s="2"/>
      <c r="S38" s="2"/>
      <c r="T38" s="2"/>
      <c r="U38" s="2"/>
      <c r="V38" s="2"/>
    </row>
    <row r="39" spans="1:16" ht="12.75">
      <c r="A39" s="3" t="s">
        <v>159</v>
      </c>
      <c r="B39" s="32" t="s">
        <v>192</v>
      </c>
      <c r="C39" s="40">
        <v>0</v>
      </c>
      <c r="D39" s="38">
        <f t="shared" si="0"/>
        <v>0</v>
      </c>
      <c r="E39" s="38">
        <f t="shared" si="1"/>
        <v>0</v>
      </c>
      <c r="F39" s="38">
        <f t="shared" si="2"/>
        <v>0</v>
      </c>
      <c r="G39" s="38">
        <f t="shared" si="3"/>
        <v>0</v>
      </c>
      <c r="H39" s="38">
        <f t="shared" si="4"/>
        <v>0</v>
      </c>
      <c r="I39" s="38">
        <f t="shared" si="5"/>
        <v>0</v>
      </c>
      <c r="K39" s="37">
        <v>0.1</v>
      </c>
      <c r="L39" s="37">
        <v>0.1</v>
      </c>
      <c r="M39" s="37">
        <v>0.1</v>
      </c>
      <c r="N39" s="37">
        <v>0</v>
      </c>
      <c r="O39" s="37">
        <v>0</v>
      </c>
      <c r="P39" s="37">
        <v>0.1</v>
      </c>
    </row>
    <row r="40" spans="1:16" ht="12.75">
      <c r="A40" t="s">
        <v>160</v>
      </c>
      <c r="B40" s="32" t="s">
        <v>193</v>
      </c>
      <c r="C40" s="40">
        <v>1000</v>
      </c>
      <c r="D40" s="38">
        <f t="shared" si="0"/>
        <v>10</v>
      </c>
      <c r="E40" s="38">
        <f t="shared" si="1"/>
        <v>10</v>
      </c>
      <c r="F40" s="38">
        <f t="shared" si="2"/>
        <v>10</v>
      </c>
      <c r="G40" s="38">
        <f t="shared" si="3"/>
        <v>10</v>
      </c>
      <c r="H40" s="38">
        <f t="shared" si="4"/>
        <v>100</v>
      </c>
      <c r="I40" s="38">
        <f t="shared" si="5"/>
        <v>10</v>
      </c>
      <c r="K40" s="37">
        <v>0.01</v>
      </c>
      <c r="L40" s="37">
        <v>0.01</v>
      </c>
      <c r="M40" s="37">
        <v>0.01</v>
      </c>
      <c r="N40" s="37">
        <v>0.01</v>
      </c>
      <c r="O40" s="37">
        <v>0.1</v>
      </c>
      <c r="P40" s="37">
        <v>0.01</v>
      </c>
    </row>
    <row r="41" ht="3.75" customHeight="1"/>
    <row r="42" spans="2:9" ht="12.75">
      <c r="B42" s="32" t="s">
        <v>128</v>
      </c>
      <c r="D42" s="39">
        <f aca="true" t="shared" si="6" ref="D42:I42">SUM(D24:D40)</f>
        <v>717468.1</v>
      </c>
      <c r="E42" s="39">
        <f t="shared" si="6"/>
        <v>71410.1</v>
      </c>
      <c r="F42" s="39">
        <f t="shared" si="6"/>
        <v>717468.1</v>
      </c>
      <c r="G42" s="39">
        <f t="shared" si="6"/>
        <v>71950</v>
      </c>
      <c r="H42" s="39">
        <f t="shared" si="6"/>
        <v>72121</v>
      </c>
      <c r="I42" s="39">
        <f t="shared" si="6"/>
        <v>71410.1</v>
      </c>
    </row>
    <row r="44" spans="2:4" ht="12.75">
      <c r="B44" s="32" t="s">
        <v>176</v>
      </c>
      <c r="C44">
        <v>33</v>
      </c>
      <c r="D44">
        <f>IF(C44&lt;100,5,IF(C44&lt;1000,10,25))</f>
        <v>5</v>
      </c>
    </row>
  </sheetData>
  <mergeCells count="6">
    <mergeCell ref="M22:P22"/>
    <mergeCell ref="A1:I1"/>
    <mergeCell ref="A2:I2"/>
    <mergeCell ref="D22:E22"/>
    <mergeCell ref="F22:I22"/>
    <mergeCell ref="K22:L22"/>
  </mergeCells>
  <dataValidations count="2">
    <dataValidation type="list" allowBlank="1" showInputMessage="1" showErrorMessage="1" errorTitle="Waste type" error="Please select from the drop down list." sqref="B13">
      <formula1>Waste_type</formula1>
    </dataValidation>
    <dataValidation type="list" allowBlank="1" showInputMessage="1" showErrorMessage="1" errorTitle="Marine" error="Please select from the drop down list." sqref="B14">
      <formula1>Marine</formula1>
    </dataValidation>
  </dataValidation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"/>
  <sheetViews>
    <sheetView workbookViewId="0" topLeftCell="A5">
      <selection activeCell="C31" sqref="C31"/>
    </sheetView>
  </sheetViews>
  <sheetFormatPr defaultColWidth="9.140625" defaultRowHeight="12.75"/>
  <cols>
    <col min="1" max="1" width="25.7109375" style="0" customWidth="1"/>
    <col min="2" max="3" width="50.7109375" style="0" customWidth="1"/>
    <col min="4" max="4" width="5.7109375" style="0" customWidth="1"/>
    <col min="5" max="5" width="15.7109375" style="0" customWidth="1"/>
  </cols>
  <sheetData>
    <row r="1" spans="1:5" ht="23.25">
      <c r="A1" s="47" t="s">
        <v>199</v>
      </c>
      <c r="B1" s="47"/>
      <c r="C1" s="47"/>
      <c r="D1" s="47"/>
      <c r="E1" s="47"/>
    </row>
    <row r="2" spans="1:5" ht="15.75">
      <c r="A2" s="48" t="s">
        <v>108</v>
      </c>
      <c r="B2" s="48"/>
      <c r="C2" s="48"/>
      <c r="D2" s="48"/>
      <c r="E2" s="48"/>
    </row>
    <row r="3" ht="3.75" customHeight="1"/>
    <row r="4" spans="1:2" ht="12.75">
      <c r="A4" s="19" t="s">
        <v>8</v>
      </c>
      <c r="B4" t="s">
        <v>205</v>
      </c>
    </row>
    <row r="5" ht="3.75" customHeight="1">
      <c r="A5" s="19"/>
    </row>
    <row r="6" spans="1:2" ht="12.75">
      <c r="A6" s="19" t="s">
        <v>7</v>
      </c>
      <c r="B6" t="s">
        <v>208</v>
      </c>
    </row>
    <row r="7" ht="3.75" customHeight="1">
      <c r="A7" s="19"/>
    </row>
    <row r="8" spans="1:2" ht="12.75">
      <c r="A8" s="19" t="s">
        <v>9</v>
      </c>
      <c r="B8" t="s">
        <v>206</v>
      </c>
    </row>
    <row r="9" ht="3.75" customHeight="1">
      <c r="A9" s="19"/>
    </row>
    <row r="10" spans="1:2" ht="12.75">
      <c r="A10" s="19" t="s">
        <v>10</v>
      </c>
      <c r="B10" t="s">
        <v>207</v>
      </c>
    </row>
    <row r="11" ht="7.5" customHeight="1"/>
    <row r="12" spans="1:5" ht="12.75" customHeight="1">
      <c r="A12" s="4"/>
      <c r="B12" s="7" t="s">
        <v>54</v>
      </c>
      <c r="C12" s="7" t="s">
        <v>6</v>
      </c>
      <c r="D12" s="5"/>
      <c r="E12" s="7" t="s">
        <v>5</v>
      </c>
    </row>
    <row r="13" ht="3.75" customHeight="1" thickBot="1">
      <c r="A13" s="4"/>
    </row>
    <row r="14" spans="1:5" ht="13.5" thickBot="1">
      <c r="A14" s="3" t="s">
        <v>0</v>
      </c>
      <c r="B14" t="s">
        <v>52</v>
      </c>
      <c r="C14" s="1" t="s">
        <v>49</v>
      </c>
      <c r="E14">
        <f>IF(C14="Yes",200,0)</f>
        <v>200</v>
      </c>
    </row>
    <row r="15" ht="3.75" customHeight="1" thickBot="1">
      <c r="C15" s="2"/>
    </row>
    <row r="16" spans="2:5" ht="26.25" thickBot="1">
      <c r="B16" s="6" t="s">
        <v>161</v>
      </c>
      <c r="C16" s="13" t="s">
        <v>49</v>
      </c>
      <c r="E16" s="10">
        <f>IF(C16="Yes",200,0)</f>
        <v>200</v>
      </c>
    </row>
    <row r="17" ht="3.75" customHeight="1"/>
    <row r="18" ht="13.5" thickBot="1">
      <c r="B18" t="s">
        <v>3</v>
      </c>
    </row>
    <row r="19" spans="2:5" ht="13.5" thickBot="1">
      <c r="B19" s="11" t="s">
        <v>29</v>
      </c>
      <c r="C19" s="9" t="s">
        <v>23</v>
      </c>
      <c r="E19">
        <f>IF(C19="No containment",20,IF(C19="Presence of ONE of the following: berm, liner, run-on diversions or vegetated cover",15,IF(C19="Presence of TWO of the following: berm, liner, run-on diversions or vegetated cover",10,IF(C19="Presence of THREE of the following: berm, liner, run-on diversions or vegetated cover",5,IF(C19="Completely contained - presence of ALL FOUR of the following: berm, liner, run-on diversions or vegetated cover",1,0)))))</f>
        <v>20</v>
      </c>
    </row>
    <row r="20" spans="2:5" ht="13.5" thickBot="1">
      <c r="B20" t="s">
        <v>142</v>
      </c>
      <c r="C20" s="43">
        <v>3.9</v>
      </c>
      <c r="E20">
        <f>IF(C20&lt;10,20,IF(C20&lt;=30,10,2))</f>
        <v>20</v>
      </c>
    </row>
    <row r="21" ht="3.75" customHeight="1"/>
    <row r="22" spans="2:5" ht="12.75">
      <c r="B22" s="3" t="s">
        <v>4</v>
      </c>
      <c r="E22" s="3">
        <f>E14+E16+(E19*E20)</f>
        <v>800</v>
      </c>
    </row>
    <row r="23" ht="7.5" customHeight="1"/>
    <row r="24" spans="1:5" ht="12.75">
      <c r="A24" s="3" t="s">
        <v>1</v>
      </c>
      <c r="B24" s="3" t="s">
        <v>138</v>
      </c>
      <c r="E24" s="42">
        <f>'1. Waste hazard'!K4</f>
        <v>83.88781999999999</v>
      </c>
    </row>
    <row r="25" ht="7.5" customHeight="1" thickBot="1">
      <c r="A25" s="3"/>
    </row>
    <row r="26" spans="1:11" ht="13.5" thickBot="1">
      <c r="A26" s="12" t="s">
        <v>2</v>
      </c>
      <c r="B26" s="6" t="s">
        <v>34</v>
      </c>
      <c r="C26" s="13" t="s">
        <v>17</v>
      </c>
      <c r="E26" s="10">
        <f>IF(J26&lt;&gt;"ERROR",J26,K26)</f>
        <v>5</v>
      </c>
      <c r="J26">
        <f>IF(C26="Rk - Karstified",20,IF(C26="Rg - Extensive sand/gravel",15,IF(C26="Rkc - Karstified, dominated by conduit flow",18,IF(C26="Rkd - Karstified, dominated by diffuse flow",15,IF(C26="Rf - Fissured bedrock",10,IF(C26="Lm - Generally moderately productive",8,IF(C26="Ll - Moderately productive only in local zones",5,IF(C26="Lk - Locally important karstified aquifer",5,"ERROR"))))))))</f>
        <v>5</v>
      </c>
      <c r="K26" t="str">
        <f>IF(C26="Lg - sand/gravel",5,IF(C26="Pl - Generally unproductive except for local zones",2,IF(C26="Pu - Generally unproductive",1,"ERROR")))</f>
        <v>ERROR</v>
      </c>
    </row>
    <row r="27" spans="1:3" ht="3.75" customHeight="1" thickBot="1">
      <c r="A27" s="12"/>
      <c r="B27" s="6"/>
      <c r="C27" s="2"/>
    </row>
    <row r="28" spans="1:5" ht="26.25" thickBot="1">
      <c r="A28" s="3"/>
      <c r="B28" s="6" t="s">
        <v>35</v>
      </c>
      <c r="C28" s="13">
        <v>27</v>
      </c>
      <c r="E28">
        <f>C28*3</f>
        <v>81</v>
      </c>
    </row>
    <row r="29" spans="1:3" ht="3.75" customHeight="1">
      <c r="A29" s="3"/>
      <c r="C29" s="10"/>
    </row>
    <row r="30" ht="3.75" customHeight="1">
      <c r="A30" s="3"/>
    </row>
    <row r="31" spans="1:5" ht="12.75">
      <c r="A31" s="3"/>
      <c r="B31" s="14" t="s">
        <v>36</v>
      </c>
      <c r="E31">
        <f>E26+E28</f>
        <v>86</v>
      </c>
    </row>
    <row r="32" spans="1:2" ht="3.75" customHeight="1" thickBot="1">
      <c r="A32" s="3"/>
      <c r="B32" s="14"/>
    </row>
    <row r="33" spans="1:5" ht="13.5" thickBot="1">
      <c r="A33" s="3"/>
      <c r="B33" s="8" t="s">
        <v>38</v>
      </c>
      <c r="C33" s="1" t="s">
        <v>43</v>
      </c>
      <c r="E33">
        <f>IF(C33="Extreme (rock near surface or karst)",1,IF(C33="Extreme",1,IF(C33="High",0.8,IF(C33="High to low",0.5,IF(C33="Moderate",0.4,IF(C33="Low",0.25,IF(C33="no data",0.5)))))))</f>
        <v>0.5</v>
      </c>
    </row>
    <row r="34" ht="3.75" customHeight="1"/>
    <row r="35" spans="2:5" ht="12.75">
      <c r="B35" s="3" t="s">
        <v>37</v>
      </c>
      <c r="E35" s="3">
        <f>INT(E31*E33+0.5)</f>
        <v>43</v>
      </c>
    </row>
    <row r="36" ht="7.5" customHeight="1"/>
    <row r="37" spans="2:5" ht="15.75">
      <c r="B37" s="4" t="s">
        <v>47</v>
      </c>
      <c r="E37" s="20">
        <f>E22*E24*E35</f>
        <v>2885741.008</v>
      </c>
    </row>
  </sheetData>
  <mergeCells count="2">
    <mergeCell ref="A1:E1"/>
    <mergeCell ref="A2:E2"/>
  </mergeCells>
  <dataValidations count="5">
    <dataValidation type="list" allowBlank="1" showInputMessage="1" showErrorMessage="1" errorTitle="GW vulnerability" error="Please select from the drop down list." sqref="C33">
      <formula1>GW_Vulnerability</formula1>
    </dataValidation>
    <dataValidation type="list" allowBlank="1" showInputMessage="1" showErrorMessage="1" errorTitle="Invalid entry" error="Select an entry from the drop down list." sqref="C26:C27">
      <formula1>AquiferType</formula1>
    </dataValidation>
    <dataValidation type="list" allowBlank="1" showInputMessage="1" showErrorMessage="1" errorTitle="Containment" error="Please select an entry from the drop down list." sqref="C19">
      <formula1>SiteContainment</formula1>
    </dataValidation>
    <dataValidation type="list" allowBlank="1" showInputMessage="1" showErrorMessage="1" errorTitle="Releases" error="Please type Yes or No or select from the drop down list." sqref="C14">
      <formula1>Releases</formula1>
    </dataValidation>
    <dataValidation type="list" allowBlank="1" showInputMessage="1" showErrorMessage="1" errorTitle="Exceedances" error="Please type Yes or No or select from the drop down list." sqref="C16">
      <formula1>Releases</formula1>
    </dataValidation>
  </dataValidations>
  <printOptions horizontalCentered="1" verticalCentered="1"/>
  <pageMargins left="0" right="0" top="0.984251968503937" bottom="0.984251968503937" header="0.5118110236220472" footer="0.5118110236220472"/>
  <pageSetup fitToHeight="1" fitToWidth="1" horizontalDpi="300" verticalDpi="300" orientation="landscape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8"/>
  <sheetViews>
    <sheetView workbookViewId="0" topLeftCell="A1">
      <selection activeCell="C14" sqref="C14"/>
    </sheetView>
  </sheetViews>
  <sheetFormatPr defaultColWidth="9.140625" defaultRowHeight="12.75"/>
  <cols>
    <col min="1" max="1" width="25.7109375" style="0" customWidth="1"/>
    <col min="2" max="3" width="50.7109375" style="0" customWidth="1"/>
    <col min="4" max="4" width="5.7109375" style="0" customWidth="1"/>
    <col min="5" max="5" width="15.7109375" style="0" customWidth="1"/>
  </cols>
  <sheetData>
    <row r="1" spans="1:5" ht="23.25">
      <c r="A1" s="47" t="s">
        <v>200</v>
      </c>
      <c r="B1" s="47"/>
      <c r="C1" s="47"/>
      <c r="D1" s="47"/>
      <c r="E1" s="47"/>
    </row>
    <row r="2" spans="1:5" ht="15.75">
      <c r="A2" s="48" t="s">
        <v>108</v>
      </c>
      <c r="B2" s="48"/>
      <c r="C2" s="48"/>
      <c r="D2" s="48"/>
      <c r="E2" s="48"/>
    </row>
    <row r="3" ht="3.75" customHeight="1"/>
    <row r="4" spans="1:2" ht="12.75">
      <c r="A4" s="19" t="s">
        <v>8</v>
      </c>
      <c r="B4" t="s">
        <v>205</v>
      </c>
    </row>
    <row r="5" ht="3.75" customHeight="1">
      <c r="A5" s="19"/>
    </row>
    <row r="6" spans="1:2" ht="12.75">
      <c r="A6" s="19" t="s">
        <v>7</v>
      </c>
      <c r="B6" t="s">
        <v>208</v>
      </c>
    </row>
    <row r="7" ht="3.75" customHeight="1">
      <c r="A7" s="19"/>
    </row>
    <row r="8" spans="1:2" ht="12.75">
      <c r="A8" s="19" t="s">
        <v>9</v>
      </c>
      <c r="B8" t="s">
        <v>206</v>
      </c>
    </row>
    <row r="9" ht="3.75" customHeight="1">
      <c r="A9" s="19"/>
    </row>
    <row r="10" spans="1:2" ht="12.75">
      <c r="A10" s="19" t="s">
        <v>10</v>
      </c>
      <c r="B10" t="s">
        <v>207</v>
      </c>
    </row>
    <row r="11" ht="7.5" customHeight="1"/>
    <row r="12" spans="1:5" ht="12.75" customHeight="1">
      <c r="A12" s="4"/>
      <c r="B12" s="7" t="s">
        <v>54</v>
      </c>
      <c r="C12" s="7" t="s">
        <v>6</v>
      </c>
      <c r="D12" s="5"/>
      <c r="E12" s="7" t="s">
        <v>5</v>
      </c>
    </row>
    <row r="13" ht="3.75" customHeight="1" thickBot="1"/>
    <row r="14" spans="1:5" ht="13.5" thickBot="1">
      <c r="A14" s="3" t="s">
        <v>0</v>
      </c>
      <c r="B14" t="s">
        <v>52</v>
      </c>
      <c r="C14" s="1" t="s">
        <v>49</v>
      </c>
      <c r="E14">
        <f>IF(C14="Yes",200,IF(C14="Visible discharge",50,IF(C14="No",0)))</f>
        <v>200</v>
      </c>
    </row>
    <row r="15" ht="3.75" customHeight="1" thickBot="1"/>
    <row r="16" spans="2:5" ht="26.25" thickBot="1">
      <c r="B16" s="6" t="s">
        <v>161</v>
      </c>
      <c r="C16" s="13" t="s">
        <v>49</v>
      </c>
      <c r="E16" s="10">
        <f>IF(C16="Yes",200,0)</f>
        <v>200</v>
      </c>
    </row>
    <row r="17" ht="3.75" customHeight="1"/>
    <row r="18" ht="13.5" thickBot="1">
      <c r="B18" t="s">
        <v>3</v>
      </c>
    </row>
    <row r="19" spans="2:5" ht="13.5" thickBot="1">
      <c r="B19" s="45" t="s">
        <v>29</v>
      </c>
      <c r="C19" s="9" t="s">
        <v>23</v>
      </c>
      <c r="E19">
        <f>IF(C19="No containment",40,IF(C19="Presence of ONE of the following: dams, diversions, pit lakes and sediment basins or traps",20,IF(C19="Presence of TWO of the following: dams, diversions, pit lakes and sediment basins or traps",10,IF(C19="Presence of all THREE of the following: dams, diversions, pit lakes E8and sediment basins or traps",1))))</f>
        <v>40</v>
      </c>
    </row>
    <row r="20" spans="2:5" ht="26.25" thickBot="1">
      <c r="B20" s="11" t="s">
        <v>60</v>
      </c>
      <c r="C20" s="25" t="s">
        <v>31</v>
      </c>
      <c r="E20">
        <f>IF(C20="&lt;10m",10,IF(C20="10 - 30m",5,IF(C20="&gt;30m",1)))</f>
        <v>10</v>
      </c>
    </row>
    <row r="21" ht="3.75" customHeight="1"/>
    <row r="22" spans="2:5" ht="12.75">
      <c r="B22" s="3" t="s">
        <v>4</v>
      </c>
      <c r="E22" s="3">
        <f>E14+E16+(E19*E20)</f>
        <v>800</v>
      </c>
    </row>
    <row r="23" ht="7.5" customHeight="1"/>
    <row r="24" spans="1:5" ht="12.75">
      <c r="A24" s="3" t="s">
        <v>1</v>
      </c>
      <c r="B24" s="3" t="s">
        <v>138</v>
      </c>
      <c r="E24" s="42">
        <f>'1. Waste hazard'!K6</f>
        <v>91.08282</v>
      </c>
    </row>
    <row r="25" ht="7.5" customHeight="1" thickBot="1"/>
    <row r="26" spans="1:5" ht="26.25" thickBot="1">
      <c r="A26" s="26" t="s">
        <v>2</v>
      </c>
      <c r="B26" s="11" t="s">
        <v>77</v>
      </c>
      <c r="C26" s="13">
        <v>0</v>
      </c>
      <c r="D26" s="10"/>
      <c r="E26" s="10">
        <f>C26</f>
        <v>0</v>
      </c>
    </row>
    <row r="27" ht="3.75" customHeight="1" thickBot="1"/>
    <row r="28" spans="2:5" ht="13.5" thickBot="1">
      <c r="B28" s="6" t="s">
        <v>170</v>
      </c>
      <c r="C28" s="13" t="s">
        <v>49</v>
      </c>
      <c r="E28" s="27">
        <f>IF(C28="Yes",50,0)</f>
        <v>50</v>
      </c>
    </row>
    <row r="29" ht="3.75" customHeight="1"/>
    <row r="30" ht="13.5" thickBot="1">
      <c r="B30" t="s">
        <v>61</v>
      </c>
    </row>
    <row r="31" spans="2:5" ht="13.5" thickBot="1">
      <c r="B31" t="s">
        <v>62</v>
      </c>
      <c r="C31" s="1" t="s">
        <v>67</v>
      </c>
      <c r="E31">
        <f>IF(C31="Salmonid",20,IF(C31="No classification",0))</f>
        <v>0</v>
      </c>
    </row>
    <row r="32" spans="2:5" ht="13.5" thickBot="1">
      <c r="B32" t="s">
        <v>63</v>
      </c>
      <c r="C32" s="1" t="s">
        <v>68</v>
      </c>
      <c r="E32">
        <f>IF(C32="Observed (fishing or boating or swimming, etc.)",5,IF(C32="Not observed",0))</f>
        <v>0</v>
      </c>
    </row>
    <row r="33" spans="2:5" ht="13.5" thickBot="1">
      <c r="B33" t="s">
        <v>64</v>
      </c>
      <c r="C33" s="1" t="s">
        <v>73</v>
      </c>
      <c r="E33">
        <f>IF(C33="Yes (National Park, SAC, NHA)",20,IF(C33="No designation",0))</f>
        <v>20</v>
      </c>
    </row>
    <row r="34" spans="2:5" ht="13.5" thickBot="1">
      <c r="B34" t="s">
        <v>65</v>
      </c>
      <c r="C34" s="28" t="s">
        <v>49</v>
      </c>
      <c r="E34">
        <f>IF(C34="Yes",20,IF(C34="Unknown",10))</f>
        <v>20</v>
      </c>
    </row>
    <row r="35" ht="3.75" customHeight="1"/>
    <row r="36" spans="2:5" ht="12.75">
      <c r="B36" s="3" t="s">
        <v>37</v>
      </c>
      <c r="E36" s="15">
        <f>E26+E28+E31+E32+E33+E34</f>
        <v>90</v>
      </c>
    </row>
    <row r="37" ht="7.5" customHeight="1"/>
    <row r="38" spans="2:5" ht="15.75">
      <c r="B38" s="4" t="s">
        <v>76</v>
      </c>
      <c r="E38" s="20">
        <f>E22*E24*E36</f>
        <v>6557963.039999999</v>
      </c>
    </row>
  </sheetData>
  <mergeCells count="2">
    <mergeCell ref="A1:E1"/>
    <mergeCell ref="A2:E2"/>
  </mergeCells>
  <dataValidations count="8">
    <dataValidation type="list" allowBlank="1" showInputMessage="1" showErrorMessage="1" errorTitle="SW fishery" error="Please select from the drop down list." sqref="C31">
      <formula1>SW_fishery</formula1>
    </dataValidation>
    <dataValidation type="list" allowBlank="1" showInputMessage="1" showErrorMessage="1" errorTitle="SW_recreational" error="Please slect from the drop down list." sqref="C32">
      <formula1>SW_recreational</formula1>
    </dataValidation>
    <dataValidation type="list" allowBlank="1" showInputMessage="1" showErrorMessage="1" errorTitle="SW_protected_area" error="Please select from the drop down list." sqref="C33">
      <formula1>SW_protected_area</formula1>
    </dataValidation>
    <dataValidation type="list" allowBlank="1" showInputMessage="1" showErrorMessage="1" errorTitle="SW_livestock" error="Please select from the drop dowm list." sqref="C34">
      <formula1>SW_livestock</formula1>
    </dataValidation>
    <dataValidation type="list" allowBlank="1" showInputMessage="1" showErrorMessage="1" errorTitle="SW releases" error="Please select an entry from the drop down list." sqref="C14">
      <formula1>SW_releases</formula1>
    </dataValidation>
    <dataValidation type="list" allowBlank="1" showInputMessage="1" showErrorMessage="1" errorTitle="Exceedances" error="Please type Yes or No or select from the drop down list." sqref="C16 C28">
      <formula1>SW_exceedances</formula1>
    </dataValidation>
    <dataValidation type="list" allowBlank="1" showInputMessage="1" showErrorMessage="1" errorTitle="SW_containment" error="Please select from the drop down list." sqref="C19">
      <formula1>SW_containment</formula1>
    </dataValidation>
    <dataValidation type="list" allowBlank="1" showInputMessage="1" showErrorMessage="1" errorTitle="DepthToWaterTable" error="Please select from the drop down list." sqref="C20">
      <formula1>SW_distance</formula1>
    </dataValidation>
  </dataValidations>
  <printOptions horizontalCentered="1" verticalCentered="1"/>
  <pageMargins left="0" right="0" top="0.984251968503937" bottom="0.984251968503937" header="0.5118110236220472" footer="0.5118110236220472"/>
  <pageSetup fitToHeight="1" fitToWidth="1" horizontalDpi="300" verticalDpi="300" orientation="landscape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0"/>
  <sheetViews>
    <sheetView workbookViewId="0" topLeftCell="A1">
      <selection activeCell="C26" sqref="C26"/>
    </sheetView>
  </sheetViews>
  <sheetFormatPr defaultColWidth="9.140625" defaultRowHeight="12.75"/>
  <cols>
    <col min="1" max="1" width="25.7109375" style="0" customWidth="1"/>
    <col min="2" max="3" width="50.7109375" style="0" customWidth="1"/>
    <col min="4" max="4" width="5.7109375" style="0" customWidth="1"/>
    <col min="5" max="5" width="15.7109375" style="0" customWidth="1"/>
  </cols>
  <sheetData>
    <row r="1" spans="1:5" ht="23.25">
      <c r="A1" s="47" t="s">
        <v>201</v>
      </c>
      <c r="B1" s="47"/>
      <c r="C1" s="47"/>
      <c r="D1" s="47"/>
      <c r="E1" s="47"/>
    </row>
    <row r="2" spans="1:5" ht="15.75">
      <c r="A2" s="48" t="s">
        <v>108</v>
      </c>
      <c r="B2" s="48"/>
      <c r="C2" s="48"/>
      <c r="D2" s="48"/>
      <c r="E2" s="48"/>
    </row>
    <row r="3" ht="3.75" customHeight="1"/>
    <row r="4" spans="1:2" ht="12.75">
      <c r="A4" s="19" t="s">
        <v>8</v>
      </c>
      <c r="B4" t="s">
        <v>205</v>
      </c>
    </row>
    <row r="5" ht="3.75" customHeight="1">
      <c r="A5" s="19"/>
    </row>
    <row r="6" spans="1:2" ht="12.75">
      <c r="A6" s="19" t="s">
        <v>7</v>
      </c>
      <c r="B6" t="s">
        <v>208</v>
      </c>
    </row>
    <row r="7" ht="3.75" customHeight="1">
      <c r="A7" s="19"/>
    </row>
    <row r="8" spans="1:2" ht="12.75">
      <c r="A8" s="19" t="s">
        <v>9</v>
      </c>
      <c r="B8" t="s">
        <v>206</v>
      </c>
    </row>
    <row r="9" ht="3.75" customHeight="1">
      <c r="A9" s="19"/>
    </row>
    <row r="10" spans="1:2" ht="12.75">
      <c r="A10" s="19" t="s">
        <v>10</v>
      </c>
      <c r="B10" t="s">
        <v>207</v>
      </c>
    </row>
    <row r="11" ht="7.5" customHeight="1"/>
    <row r="12" spans="1:5" ht="15.75">
      <c r="A12" s="4"/>
      <c r="B12" s="7" t="s">
        <v>54</v>
      </c>
      <c r="C12" s="7" t="s">
        <v>6</v>
      </c>
      <c r="D12" s="5"/>
      <c r="E12" s="7" t="s">
        <v>5</v>
      </c>
    </row>
    <row r="13" ht="3.75" customHeight="1"/>
    <row r="14" spans="1:5" ht="12.75">
      <c r="A14" s="12" t="s">
        <v>0</v>
      </c>
      <c r="B14" s="10" t="s">
        <v>52</v>
      </c>
      <c r="C14" s="6" t="s">
        <v>50</v>
      </c>
      <c r="E14" s="10">
        <f>IF(C14="Yes (dust blow observed, evidence of waste blown from a pile, reliable witness accounts)",300,IF(C14="No",0))</f>
        <v>0</v>
      </c>
    </row>
    <row r="15" ht="3.75" customHeight="1"/>
    <row r="16" spans="2:5" ht="12.75">
      <c r="B16" t="s">
        <v>79</v>
      </c>
      <c r="C16" t="s">
        <v>172</v>
      </c>
      <c r="E16">
        <f>IF(C16="High dust potential (&lt;50% cover or screening)",300,IF(C16="Moderate dust potential (50-75% cover)",200,IF(C16="Low dust potential (75-95% cover)",100,IF(C16="No dust potential (&gt;95% cover)",10))))</f>
        <v>300</v>
      </c>
    </row>
    <row r="17" ht="3.75" customHeight="1"/>
    <row r="18" spans="2:5" ht="12.75">
      <c r="B18" s="3" t="s">
        <v>4</v>
      </c>
      <c r="E18" s="3">
        <f>E14+E16</f>
        <v>300</v>
      </c>
    </row>
    <row r="19" ht="7.5" customHeight="1"/>
    <row r="20" spans="1:5" ht="12.75">
      <c r="A20" s="3" t="s">
        <v>1</v>
      </c>
      <c r="B20" s="3" t="s">
        <v>138</v>
      </c>
      <c r="E20" s="42">
        <f>'1. Waste hazard'!K8</f>
        <v>0.7174680999999999</v>
      </c>
    </row>
    <row r="21" ht="7.5" customHeight="1"/>
    <row r="22" spans="1:5" ht="12.75">
      <c r="A22" s="3" t="s">
        <v>2</v>
      </c>
      <c r="B22" t="s">
        <v>80</v>
      </c>
      <c r="C22">
        <v>92</v>
      </c>
      <c r="E22">
        <f>IF(C22=0,0,IF(C22&lt;10,1,IF(C22&lt;30,10,IF(C22&lt;100,30,IF(C22&lt;300,100,IF(C22&lt;1000,300,IF(C22&lt;3000,1000,IF(C22&lt;10000,3000,10000))))))))</f>
        <v>30</v>
      </c>
    </row>
    <row r="23" ht="3.75" customHeight="1"/>
    <row r="24" spans="2:5" ht="12.75">
      <c r="B24" s="6" t="s">
        <v>96</v>
      </c>
      <c r="C24" s="10">
        <v>101</v>
      </c>
      <c r="D24" s="10"/>
      <c r="E24" s="10">
        <f>IF(C24&lt;100,20,IF(C24&lt;200,15,IF(C24&lt;300,10,5)))</f>
        <v>15</v>
      </c>
    </row>
    <row r="25" ht="3.75" customHeight="1"/>
    <row r="26" spans="2:5" ht="25.5">
      <c r="B26" s="6" t="s">
        <v>144</v>
      </c>
      <c r="C26" s="10" t="s">
        <v>50</v>
      </c>
      <c r="D26" s="10"/>
      <c r="E26" s="10">
        <f>IF(C26="Yes",20,IF(C26="No",0))</f>
        <v>0</v>
      </c>
    </row>
    <row r="27" ht="3.75" customHeight="1"/>
    <row r="28" spans="2:5" ht="12.75">
      <c r="B28" s="3" t="s">
        <v>37</v>
      </c>
      <c r="E28" s="3">
        <f>E22+E24+E26</f>
        <v>45</v>
      </c>
    </row>
    <row r="29" ht="7.5" customHeight="1"/>
    <row r="30" spans="2:5" ht="15.75">
      <c r="B30" s="4" t="s">
        <v>83</v>
      </c>
      <c r="E30" s="20">
        <f>E18*E20*E28</f>
        <v>9685.81935</v>
      </c>
    </row>
  </sheetData>
  <mergeCells count="2">
    <mergeCell ref="A1:E1"/>
    <mergeCell ref="A2:E2"/>
  </mergeCells>
  <dataValidations count="4">
    <dataValidation type="whole" showInputMessage="1" showErrorMessage="1" errorTitle="A_distance" error="Please enter a whole number." sqref="C24">
      <formula1>1</formula1>
      <formula2>1000000</formula2>
    </dataValidation>
    <dataValidation type="list" allowBlank="1" showInputMessage="1" showErrorMessage="1" errorTitle="A_protected_areas" error="Please select from the drop down list." sqref="C26">
      <formula1>A_protected_areas</formula1>
    </dataValidation>
    <dataValidation type="list" allowBlank="1" showInputMessage="1" showErrorMessage="1" errorTitle="A releases" error="Please select from the drop down list." sqref="C14">
      <formula1>A_releases</formula1>
    </dataValidation>
    <dataValidation type="list" allowBlank="1" showInputMessage="1" showErrorMessage="1" errorTitle="A_containment" error="Please select from the drop down list." sqref="C16">
      <formula1>A_containment</formula1>
    </dataValidation>
  </dataValidations>
  <printOptions horizontalCentered="1" verticalCentered="1"/>
  <pageMargins left="0" right="0" top="0.984251968503937" bottom="0.984251968503937" header="0.5118110236220472" footer="0.5118110236220472"/>
  <pageSetup fitToHeight="1" fitToWidth="1" horizontalDpi="300" verticalDpi="300" orientation="portrait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7"/>
  <sheetViews>
    <sheetView workbookViewId="0" topLeftCell="A1">
      <selection activeCell="C29" sqref="C29"/>
    </sheetView>
  </sheetViews>
  <sheetFormatPr defaultColWidth="9.140625" defaultRowHeight="12.75"/>
  <cols>
    <col min="1" max="1" width="25.7109375" style="0" customWidth="1"/>
    <col min="2" max="3" width="50.7109375" style="0" customWidth="1"/>
    <col min="4" max="4" width="5.7109375" style="0" customWidth="1"/>
    <col min="5" max="5" width="15.7109375" style="0" customWidth="1"/>
  </cols>
  <sheetData>
    <row r="1" spans="1:5" ht="23.25">
      <c r="A1" s="47" t="s">
        <v>202</v>
      </c>
      <c r="B1" s="47"/>
      <c r="C1" s="47"/>
      <c r="D1" s="47"/>
      <c r="E1" s="47"/>
    </row>
    <row r="2" spans="1:5" ht="15.75">
      <c r="A2" s="48" t="s">
        <v>108</v>
      </c>
      <c r="B2" s="48"/>
      <c r="C2" s="48"/>
      <c r="D2" s="48"/>
      <c r="E2" s="48"/>
    </row>
    <row r="3" ht="3.75" customHeight="1"/>
    <row r="4" spans="1:2" ht="12.75">
      <c r="A4" s="19" t="s">
        <v>8</v>
      </c>
      <c r="B4" t="s">
        <v>205</v>
      </c>
    </row>
    <row r="5" ht="3.75" customHeight="1">
      <c r="A5" s="19"/>
    </row>
    <row r="6" spans="1:2" ht="12.75">
      <c r="A6" s="19" t="s">
        <v>7</v>
      </c>
      <c r="B6" t="s">
        <v>208</v>
      </c>
    </row>
    <row r="7" ht="3.75" customHeight="1">
      <c r="A7" s="19"/>
    </row>
    <row r="8" spans="1:2" ht="12.75">
      <c r="A8" s="19" t="s">
        <v>9</v>
      </c>
      <c r="B8" t="s">
        <v>206</v>
      </c>
    </row>
    <row r="9" ht="3.75" customHeight="1">
      <c r="A9" s="19"/>
    </row>
    <row r="10" spans="1:2" ht="12.75">
      <c r="A10" s="19" t="s">
        <v>10</v>
      </c>
      <c r="B10" t="s">
        <v>207</v>
      </c>
    </row>
    <row r="11" ht="7.5" customHeight="1"/>
    <row r="12" spans="1:5" ht="15.75">
      <c r="A12" s="4"/>
      <c r="B12" s="7" t="s">
        <v>54</v>
      </c>
      <c r="C12" s="7" t="s">
        <v>6</v>
      </c>
      <c r="D12" s="5"/>
      <c r="E12" s="7" t="s">
        <v>5</v>
      </c>
    </row>
    <row r="13" ht="3.75" customHeight="1"/>
    <row r="14" spans="1:2" ht="12.75">
      <c r="A14" s="3" t="s">
        <v>0</v>
      </c>
      <c r="B14" t="s">
        <v>84</v>
      </c>
    </row>
    <row r="15" spans="2:5" ht="25.5">
      <c r="B15" s="6" t="s">
        <v>86</v>
      </c>
      <c r="C15" s="10" t="s">
        <v>49</v>
      </c>
      <c r="E15" s="10">
        <f>IF(C15="Yes",200,IF(C15="No",0))</f>
        <v>200</v>
      </c>
    </row>
    <row r="16" spans="2:5" ht="38.25">
      <c r="B16" s="6" t="s">
        <v>87</v>
      </c>
      <c r="C16" t="s">
        <v>49</v>
      </c>
      <c r="E16" s="10">
        <f>IF(C16="Yes",200,IF(C16="No",0))</f>
        <v>200</v>
      </c>
    </row>
    <row r="17" ht="3.75" customHeight="1"/>
    <row r="18" ht="12.75">
      <c r="B18" t="s">
        <v>3</v>
      </c>
    </row>
    <row r="19" spans="2:5" ht="12.75">
      <c r="B19" s="10" t="s">
        <v>89</v>
      </c>
      <c r="C19" s="6" t="s">
        <v>91</v>
      </c>
      <c r="E19" s="10">
        <f>IF(C19="Easily accessible (no fences, gates or signs)",20,IF(C19="Moderately accessible (barbed wire fences, road gated, signage)",10,IF(C19="Difficult access (chain link fence, road gated and locked)",5,IF(C19="Not accessible (site completely fenced, access road gated and locked, on site security within 250m of the waste piles)",1))))</f>
        <v>20</v>
      </c>
    </row>
    <row r="20" spans="2:5" ht="25.5">
      <c r="B20" s="10" t="s">
        <v>133</v>
      </c>
      <c r="C20" s="6" t="s">
        <v>194</v>
      </c>
      <c r="E20" s="10">
        <f>IF(C20="Well maintained, no breaches",0.1,IF(C20="Small animals can access with ease, Humans and animals can access with difficulty.  Vehicles cannot gain entry.  Less than three breaches.",0.7,IF(C20="Small animals, human and livestock can access with ease.  Vehicles* can enter.  Less than five breaches.",1,IF(C20="Small animals, human and livestock can access with ease.  Vehicles* can enter or more than five breaches",2))))</f>
        <v>2</v>
      </c>
    </row>
    <row r="21" spans="2:5" ht="12.75">
      <c r="B21" t="s">
        <v>95</v>
      </c>
      <c r="C21">
        <v>499</v>
      </c>
      <c r="E21">
        <f>IF(C21&lt;500,20,IF(C21&lt;1000,10,IF(C21&gt;1000,5)))</f>
        <v>20</v>
      </c>
    </row>
    <row r="22" ht="3.75" customHeight="1"/>
    <row r="23" spans="2:5" ht="12.75">
      <c r="B23" s="3" t="s">
        <v>4</v>
      </c>
      <c r="E23" s="3">
        <f>E15+E16+(E19*E20*E21)</f>
        <v>1200</v>
      </c>
    </row>
    <row r="24" ht="7.5" customHeight="1"/>
    <row r="25" spans="1:5" ht="12.75">
      <c r="A25" s="3" t="s">
        <v>1</v>
      </c>
      <c r="B25" s="3" t="s">
        <v>138</v>
      </c>
      <c r="E25" s="42">
        <f>'1. Waste hazard'!K10</f>
        <v>0.7174680999999999</v>
      </c>
    </row>
    <row r="26" ht="7.5" customHeight="1"/>
    <row r="27" spans="1:5" ht="12.75">
      <c r="A27" s="3" t="s">
        <v>2</v>
      </c>
      <c r="B27" t="s">
        <v>97</v>
      </c>
      <c r="C27">
        <v>361</v>
      </c>
      <c r="E27">
        <f>IF(C27=0,0,IF(C27&lt;10,1,IF(C27&lt;30,10,IF(C27&lt;100,30,IF(C27&lt;300,100,IF(C27&lt;1000,300,IF(C27&lt;3000,1000,IF(C27&lt;10000,3000,10000))))))))</f>
        <v>300</v>
      </c>
    </row>
    <row r="28" ht="3.75" customHeight="1"/>
    <row r="29" spans="2:5" ht="12.75">
      <c r="B29" t="s">
        <v>101</v>
      </c>
      <c r="C29">
        <v>499</v>
      </c>
      <c r="E29" s="10">
        <f>IF(C29&lt;=500,10,IF(C29&lt;=1000,5,IF(C29&gt;=1000,0)))</f>
        <v>10</v>
      </c>
    </row>
    <row r="30" ht="3.75" customHeight="1"/>
    <row r="31" spans="2:5" ht="12.75">
      <c r="B31" t="s">
        <v>102</v>
      </c>
      <c r="C31" t="s">
        <v>100</v>
      </c>
      <c r="E31">
        <f>IF(C31="Predominantly working outside",200,IF(C31="Farmers",100,IF(C31="Predominantly working inside",50,IF(C31="No workers",0))))</f>
        <v>0</v>
      </c>
    </row>
    <row r="32" ht="3.75" customHeight="1"/>
    <row r="33" spans="2:5" ht="25.5">
      <c r="B33" s="6" t="s">
        <v>98</v>
      </c>
      <c r="C33" s="10" t="s">
        <v>106</v>
      </c>
      <c r="E33" s="10">
        <f>IF(C33="Highly attractive",100,IF(C33="Moderately attractive",50,IF(C33="Low attractiveness",25,IF(C33="Not attractive",0))))</f>
        <v>25</v>
      </c>
    </row>
    <row r="34" ht="3.75" customHeight="1"/>
    <row r="35" spans="2:5" ht="12.75">
      <c r="B35" s="3" t="s">
        <v>37</v>
      </c>
      <c r="E35" s="3">
        <f>E27+E29+E31+E33</f>
        <v>335</v>
      </c>
    </row>
    <row r="36" ht="7.5" customHeight="1"/>
    <row r="37" spans="2:5" ht="15.75">
      <c r="B37" s="4" t="s">
        <v>99</v>
      </c>
      <c r="E37" s="20">
        <f>E23*E25*E35</f>
        <v>288422.1762</v>
      </c>
    </row>
  </sheetData>
  <mergeCells count="2">
    <mergeCell ref="A1:E1"/>
    <mergeCell ref="A2:E2"/>
  </mergeCells>
  <dataValidations count="6">
    <dataValidation type="list" allowBlank="1" showInputMessage="1" showErrorMessage="1" errorTitle="DCP workers" error="Please select from the drop down list." sqref="C31">
      <formula1>DCP_onsite_workers</formula1>
    </dataValidation>
    <dataValidation type="list" allowBlank="1" showInputMessage="1" showErrorMessage="1" errorTitle="DCP_attractiveness for recreatio" error="Please select from the drop down list." sqref="C33">
      <formula1>DCP_attractiveness</formula1>
    </dataValidation>
    <dataValidation type="list" allowBlank="1" showInputMessage="1" showErrorMessage="1" errorTitle="DCP observed" error="Please select from the drop dowm list." sqref="C15">
      <formula1>DCP_observed</formula1>
    </dataValidation>
    <dataValidation type="list" allowBlank="1" showInputMessage="1" showErrorMessage="1" errorTitle="DCP recreational activities" error="Please select from the drop down list.&#10;" sqref="C16">
      <formula1>DCP_recreational</formula1>
    </dataValidation>
    <dataValidation type="list" allowBlank="1" showInputMessage="1" showErrorMessage="1" errorTitle="DCP Site access" error="Please select from the drop down list." sqref="C19">
      <formula1>DCP_access</formula1>
    </dataValidation>
    <dataValidation type="list" allowBlank="1" showInputMessage="1" showErrorMessage="1" errorTitle="Condition of restrictions" error="Please select from the drop down list." sqref="C20">
      <formula1>Conditions_of_restrictions</formula1>
    </dataValidation>
  </dataValidations>
  <printOptions horizontalCentered="1" verticalCentered="1"/>
  <pageMargins left="0" right="0" top="0.984251968503937" bottom="0.984251968503937" header="0.5118110236220472" footer="0.5118110236220472"/>
  <pageSetup fitToHeight="1" fitToWidth="1" horizontalDpi="300" verticalDpi="300" orientation="landscape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workbookViewId="0" topLeftCell="A1">
      <selection activeCell="B10" sqref="B9:B10"/>
    </sheetView>
  </sheetViews>
  <sheetFormatPr defaultColWidth="9.140625" defaultRowHeight="12.75"/>
  <cols>
    <col min="1" max="1" width="25.7109375" style="0" customWidth="1"/>
    <col min="2" max="3" width="50.7109375" style="0" customWidth="1"/>
  </cols>
  <sheetData>
    <row r="1" spans="1:5" ht="23.25">
      <c r="A1" s="47" t="s">
        <v>204</v>
      </c>
      <c r="B1" s="47"/>
      <c r="C1" s="47"/>
      <c r="D1" s="17"/>
      <c r="E1" s="17"/>
    </row>
    <row r="2" spans="1:5" ht="15.75">
      <c r="A2" s="48" t="s">
        <v>108</v>
      </c>
      <c r="B2" s="48"/>
      <c r="C2" s="48"/>
      <c r="D2" s="18"/>
      <c r="E2" s="18"/>
    </row>
    <row r="3" ht="3.75" customHeight="1"/>
    <row r="4" spans="1:2" ht="12.75">
      <c r="A4" s="19" t="s">
        <v>8</v>
      </c>
      <c r="B4" t="s">
        <v>205</v>
      </c>
    </row>
    <row r="5" ht="3.75" customHeight="1">
      <c r="A5" s="19"/>
    </row>
    <row r="6" spans="1:2" ht="12.75">
      <c r="A6" s="19" t="s">
        <v>109</v>
      </c>
      <c r="B6" t="s">
        <v>208</v>
      </c>
    </row>
    <row r="7" ht="3.75" customHeight="1">
      <c r="A7" s="19"/>
    </row>
    <row r="8" spans="1:2" ht="12.75">
      <c r="A8" s="19" t="s">
        <v>9</v>
      </c>
      <c r="B8" t="s">
        <v>206</v>
      </c>
    </row>
    <row r="9" ht="3.75" customHeight="1">
      <c r="A9" s="19"/>
    </row>
    <row r="10" spans="1:2" ht="12.75">
      <c r="A10" s="19" t="s">
        <v>10</v>
      </c>
      <c r="B10" t="s">
        <v>207</v>
      </c>
    </row>
    <row r="11" ht="7.5" customHeight="1"/>
    <row r="12" spans="1:4" ht="15.75">
      <c r="A12" s="4"/>
      <c r="B12" s="7" t="s">
        <v>110</v>
      </c>
      <c r="C12" s="7" t="s">
        <v>5</v>
      </c>
      <c r="D12" s="5"/>
    </row>
    <row r="13" spans="2:3" ht="12.75">
      <c r="B13" t="s">
        <v>111</v>
      </c>
      <c r="C13" s="16">
        <f>'2. Groundwater'!E37</f>
        <v>2885741.008</v>
      </c>
    </row>
    <row r="14" ht="7.5" customHeight="1"/>
    <row r="15" spans="2:3" ht="12.75">
      <c r="B15" t="s">
        <v>112</v>
      </c>
      <c r="C15" s="16">
        <f>'3. Surface Water'!E38</f>
        <v>6557963.039999999</v>
      </c>
    </row>
    <row r="16" ht="7.5" customHeight="1"/>
    <row r="17" spans="2:3" ht="12.75">
      <c r="B17" t="s">
        <v>113</v>
      </c>
      <c r="C17" s="16">
        <f>'4. Air Pathway'!E30</f>
        <v>9685.81935</v>
      </c>
    </row>
    <row r="18" ht="7.5" customHeight="1"/>
    <row r="19" spans="2:3" ht="12.75">
      <c r="B19" t="s">
        <v>143</v>
      </c>
      <c r="C19" s="16">
        <f>'5. Direct Contact (waste pile)'!E37</f>
        <v>288422.1762</v>
      </c>
    </row>
    <row r="21" spans="2:3" ht="15.75">
      <c r="B21" s="4" t="s">
        <v>203</v>
      </c>
      <c r="C21" s="20">
        <f>(C13+C15+C17+C19)/100000</f>
        <v>97.4181204355</v>
      </c>
    </row>
    <row r="23" ht="12.75">
      <c r="C23" s="16"/>
    </row>
    <row r="24" ht="12.75">
      <c r="C24" s="16"/>
    </row>
    <row r="25" ht="12.75">
      <c r="C25" s="16"/>
    </row>
    <row r="26" ht="12.75">
      <c r="C26" s="16"/>
    </row>
    <row r="27" ht="12.75">
      <c r="C27" s="16"/>
    </row>
  </sheetData>
  <mergeCells count="2">
    <mergeCell ref="A1:C1"/>
    <mergeCell ref="A2:C2"/>
  </mergeCells>
  <printOptions horizontalCentered="1" verticalCentered="1"/>
  <pageMargins left="0" right="0" top="0.984251968503937" bottom="0.984251968503937" header="0.5118110236220472" footer="0.5118110236220472"/>
  <pageSetup fitToHeight="1" fitToWidth="1"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70"/>
  <sheetViews>
    <sheetView workbookViewId="0" topLeftCell="A28">
      <selection activeCell="A1" sqref="A1"/>
    </sheetView>
  </sheetViews>
  <sheetFormatPr defaultColWidth="9.140625" defaultRowHeight="12.75"/>
  <cols>
    <col min="1" max="6" width="30.7109375" style="0" customWidth="1"/>
  </cols>
  <sheetData>
    <row r="1" spans="1:6" ht="12.75">
      <c r="A1" s="3" t="s">
        <v>116</v>
      </c>
      <c r="B1" s="21" t="s">
        <v>51</v>
      </c>
      <c r="C1" s="21" t="s">
        <v>53</v>
      </c>
      <c r="D1" s="21" t="s">
        <v>55</v>
      </c>
      <c r="E1" s="21" t="s">
        <v>56</v>
      </c>
      <c r="F1" s="21" t="s">
        <v>57</v>
      </c>
    </row>
    <row r="2" spans="2:6" ht="12.75">
      <c r="B2" s="22"/>
      <c r="C2" s="6"/>
      <c r="D2" s="6"/>
      <c r="E2" s="6"/>
      <c r="F2" s="6"/>
    </row>
    <row r="3" spans="1:6" ht="12.75">
      <c r="A3" s="3" t="s">
        <v>115</v>
      </c>
      <c r="B3" s="22" t="s">
        <v>48</v>
      </c>
      <c r="C3" s="22" t="s">
        <v>48</v>
      </c>
      <c r="D3" s="22" t="s">
        <v>48</v>
      </c>
      <c r="E3" s="22" t="s">
        <v>85</v>
      </c>
      <c r="F3" s="22" t="s">
        <v>85</v>
      </c>
    </row>
    <row r="4" spans="1:6" ht="38.25">
      <c r="A4" t="s">
        <v>117</v>
      </c>
      <c r="B4" s="23" t="s">
        <v>49</v>
      </c>
      <c r="C4" s="23" t="s">
        <v>49</v>
      </c>
      <c r="D4" s="6" t="s">
        <v>78</v>
      </c>
      <c r="E4" s="6" t="s">
        <v>49</v>
      </c>
      <c r="F4" s="6" t="s">
        <v>49</v>
      </c>
    </row>
    <row r="5" spans="1:6" ht="12.75">
      <c r="A5" t="s">
        <v>118</v>
      </c>
      <c r="B5" s="23" t="s">
        <v>50</v>
      </c>
      <c r="C5" s="6" t="s">
        <v>50</v>
      </c>
      <c r="D5" s="6" t="s">
        <v>50</v>
      </c>
      <c r="E5" s="6" t="s">
        <v>50</v>
      </c>
      <c r="F5" s="6" t="s">
        <v>50</v>
      </c>
    </row>
    <row r="6" spans="2:6" ht="12.75">
      <c r="B6" s="22"/>
      <c r="C6" s="23"/>
      <c r="D6" s="6"/>
      <c r="E6" s="6"/>
      <c r="F6" s="6"/>
    </row>
    <row r="7" spans="1:6" ht="12.75">
      <c r="A7" s="3" t="s">
        <v>174</v>
      </c>
      <c r="B7" s="22" t="s">
        <v>28</v>
      </c>
      <c r="C7" s="6"/>
      <c r="D7" s="22" t="s">
        <v>59</v>
      </c>
      <c r="E7" s="22" t="s">
        <v>88</v>
      </c>
      <c r="F7" s="22" t="s">
        <v>2</v>
      </c>
    </row>
    <row r="8" spans="1:6" ht="25.5">
      <c r="A8" t="s">
        <v>49</v>
      </c>
      <c r="B8" s="23" t="s">
        <v>23</v>
      </c>
      <c r="C8" s="24" t="s">
        <v>58</v>
      </c>
      <c r="D8" s="6" t="s">
        <v>172</v>
      </c>
      <c r="E8" s="6" t="s">
        <v>49</v>
      </c>
      <c r="F8" s="6" t="s">
        <v>141</v>
      </c>
    </row>
    <row r="9" spans="1:6" ht="38.25">
      <c r="A9" t="s">
        <v>50</v>
      </c>
      <c r="B9" s="6" t="s">
        <v>24</v>
      </c>
      <c r="C9" s="6" t="s">
        <v>49</v>
      </c>
      <c r="D9" s="6" t="s">
        <v>162</v>
      </c>
      <c r="E9" s="6" t="s">
        <v>50</v>
      </c>
      <c r="F9" s="6" t="s">
        <v>82</v>
      </c>
    </row>
    <row r="10" spans="2:6" ht="38.25">
      <c r="B10" s="6" t="s">
        <v>25</v>
      </c>
      <c r="C10" s="6" t="s">
        <v>50</v>
      </c>
      <c r="D10" s="6" t="s">
        <v>163</v>
      </c>
      <c r="E10" s="6"/>
      <c r="F10" s="6"/>
    </row>
    <row r="11" spans="2:6" ht="38.25">
      <c r="B11" s="6" t="s">
        <v>26</v>
      </c>
      <c r="C11" s="6"/>
      <c r="D11" s="6" t="s">
        <v>164</v>
      </c>
      <c r="E11" s="22" t="s">
        <v>90</v>
      </c>
      <c r="F11" s="6"/>
    </row>
    <row r="12" spans="2:6" ht="51">
      <c r="B12" s="6" t="s">
        <v>27</v>
      </c>
      <c r="C12" s="22" t="s">
        <v>59</v>
      </c>
      <c r="D12" s="6"/>
      <c r="E12" s="6" t="s">
        <v>91</v>
      </c>
      <c r="F12" s="6"/>
    </row>
    <row r="13" spans="2:6" ht="25.5">
      <c r="B13" s="6"/>
      <c r="C13" s="6" t="s">
        <v>23</v>
      </c>
      <c r="D13" s="22" t="s">
        <v>81</v>
      </c>
      <c r="E13" s="6" t="s">
        <v>92</v>
      </c>
      <c r="F13" s="6"/>
    </row>
    <row r="14" spans="2:6" ht="38.25">
      <c r="B14" s="22" t="s">
        <v>30</v>
      </c>
      <c r="C14" s="6" t="s">
        <v>165</v>
      </c>
      <c r="D14" s="6" t="s">
        <v>49</v>
      </c>
      <c r="E14" s="6" t="s">
        <v>93</v>
      </c>
      <c r="F14" s="6"/>
    </row>
    <row r="15" spans="2:6" ht="51">
      <c r="B15" s="6" t="s">
        <v>31</v>
      </c>
      <c r="C15" s="6" t="s">
        <v>166</v>
      </c>
      <c r="D15" s="6" t="s">
        <v>50</v>
      </c>
      <c r="E15" s="6" t="s">
        <v>94</v>
      </c>
      <c r="F15" s="6"/>
    </row>
    <row r="16" spans="2:6" ht="38.25">
      <c r="B16" s="6" t="s">
        <v>32</v>
      </c>
      <c r="C16" s="6" t="s">
        <v>167</v>
      </c>
      <c r="E16" s="6"/>
      <c r="F16" s="6"/>
    </row>
    <row r="17" spans="2:6" ht="12.75">
      <c r="B17" s="6" t="s">
        <v>33</v>
      </c>
      <c r="C17" s="6"/>
      <c r="D17" s="6"/>
      <c r="E17" s="3" t="s">
        <v>134</v>
      </c>
      <c r="F17" s="6"/>
    </row>
    <row r="18" spans="2:6" ht="25.5">
      <c r="B18" s="6"/>
      <c r="C18" s="22" t="s">
        <v>171</v>
      </c>
      <c r="D18" s="6"/>
      <c r="E18" s="6" t="s">
        <v>135</v>
      </c>
      <c r="F18" s="6"/>
    </row>
    <row r="19" spans="2:6" ht="63.75">
      <c r="B19" s="21" t="s">
        <v>22</v>
      </c>
      <c r="C19" s="6" t="s">
        <v>31</v>
      </c>
      <c r="E19" s="6" t="s">
        <v>136</v>
      </c>
      <c r="F19" s="6"/>
    </row>
    <row r="20" spans="2:6" ht="51">
      <c r="B20" s="6" t="s">
        <v>11</v>
      </c>
      <c r="C20" s="6" t="s">
        <v>32</v>
      </c>
      <c r="E20" s="6" t="s">
        <v>137</v>
      </c>
      <c r="F20" s="6"/>
    </row>
    <row r="21" spans="2:6" ht="51">
      <c r="B21" s="6" t="s">
        <v>13</v>
      </c>
      <c r="C21" s="6" t="s">
        <v>33</v>
      </c>
      <c r="E21" s="6" t="s">
        <v>194</v>
      </c>
      <c r="F21" s="6"/>
    </row>
    <row r="22" spans="2:6" ht="12.75">
      <c r="B22" s="6" t="s">
        <v>12</v>
      </c>
      <c r="C22" s="6"/>
      <c r="D22" s="6"/>
      <c r="F22" s="6"/>
    </row>
    <row r="23" spans="2:6" ht="25.5">
      <c r="B23" s="6" t="s">
        <v>14</v>
      </c>
      <c r="C23" s="22" t="s">
        <v>70</v>
      </c>
      <c r="D23" s="6"/>
      <c r="E23" s="22" t="s">
        <v>175</v>
      </c>
      <c r="F23" s="6"/>
    </row>
    <row r="24" spans="2:6" ht="12.75">
      <c r="B24" s="6" t="s">
        <v>15</v>
      </c>
      <c r="C24" s="6" t="s">
        <v>66</v>
      </c>
      <c r="D24" s="6"/>
      <c r="E24" s="6" t="s">
        <v>139</v>
      </c>
      <c r="F24" s="6"/>
    </row>
    <row r="25" spans="2:5" ht="25.5">
      <c r="B25" s="6" t="s">
        <v>16</v>
      </c>
      <c r="C25" s="6" t="s">
        <v>67</v>
      </c>
      <c r="D25" s="6"/>
      <c r="E25" s="6" t="s">
        <v>173</v>
      </c>
    </row>
    <row r="26" spans="2:6" ht="25.5">
      <c r="B26" s="6" t="s">
        <v>17</v>
      </c>
      <c r="C26" s="6"/>
      <c r="D26" s="6"/>
      <c r="E26" s="6" t="s">
        <v>140</v>
      </c>
      <c r="F26" s="6"/>
    </row>
    <row r="27" spans="2:6" ht="25.5">
      <c r="B27" s="6" t="s">
        <v>18</v>
      </c>
      <c r="C27" s="22" t="s">
        <v>69</v>
      </c>
      <c r="D27" s="6"/>
      <c r="E27" s="6" t="s">
        <v>100</v>
      </c>
      <c r="F27" s="6"/>
    </row>
    <row r="28" spans="2:6" ht="25.5">
      <c r="B28" s="6" t="s">
        <v>19</v>
      </c>
      <c r="C28" s="6" t="s">
        <v>74</v>
      </c>
      <c r="D28" s="6"/>
      <c r="F28" s="6"/>
    </row>
    <row r="29" spans="2:6" ht="25.5">
      <c r="B29" s="6" t="s">
        <v>20</v>
      </c>
      <c r="C29" s="6" t="s">
        <v>68</v>
      </c>
      <c r="D29" s="6"/>
      <c r="E29" s="22" t="s">
        <v>103</v>
      </c>
      <c r="F29" s="6"/>
    </row>
    <row r="30" spans="2:6" ht="12.75">
      <c r="B30" s="6" t="s">
        <v>21</v>
      </c>
      <c r="C30" s="6"/>
      <c r="D30" s="6"/>
      <c r="E30" s="6" t="s">
        <v>104</v>
      </c>
      <c r="F30" s="6"/>
    </row>
    <row r="31" spans="2:6" ht="25.5">
      <c r="B31" s="6"/>
      <c r="C31" s="22" t="s">
        <v>71</v>
      </c>
      <c r="D31" s="6"/>
      <c r="E31" s="6" t="s">
        <v>105</v>
      </c>
      <c r="F31" s="6"/>
    </row>
    <row r="32" spans="2:6" ht="12.75">
      <c r="B32" s="22" t="s">
        <v>39</v>
      </c>
      <c r="C32" s="6" t="s">
        <v>73</v>
      </c>
      <c r="D32" s="6"/>
      <c r="E32" s="6" t="s">
        <v>106</v>
      </c>
      <c r="F32" s="6"/>
    </row>
    <row r="33" spans="2:6" ht="25.5">
      <c r="B33" s="6" t="s">
        <v>40</v>
      </c>
      <c r="C33" s="6" t="s">
        <v>75</v>
      </c>
      <c r="D33" s="6"/>
      <c r="E33" s="6" t="s">
        <v>107</v>
      </c>
      <c r="F33" s="6"/>
    </row>
    <row r="34" spans="2:6" ht="12.75">
      <c r="B34" s="6" t="s">
        <v>41</v>
      </c>
      <c r="C34" s="6"/>
      <c r="D34" s="6"/>
      <c r="F34" s="6"/>
    </row>
    <row r="35" spans="2:6" ht="12.75">
      <c r="B35" s="6" t="s">
        <v>42</v>
      </c>
      <c r="C35" s="22" t="s">
        <v>72</v>
      </c>
      <c r="D35" s="6"/>
      <c r="E35" s="22" t="s">
        <v>177</v>
      </c>
      <c r="F35" s="6"/>
    </row>
    <row r="36" spans="2:6" ht="12.75">
      <c r="B36" s="6" t="s">
        <v>43</v>
      </c>
      <c r="C36" s="6" t="s">
        <v>49</v>
      </c>
      <c r="D36" s="6"/>
      <c r="E36" s="6" t="s">
        <v>139</v>
      </c>
      <c r="F36" s="6"/>
    </row>
    <row r="37" spans="2:6" ht="12.75">
      <c r="B37" s="6" t="s">
        <v>44</v>
      </c>
      <c r="C37" s="6" t="s">
        <v>82</v>
      </c>
      <c r="D37" s="6"/>
      <c r="E37" s="6" t="s">
        <v>173</v>
      </c>
      <c r="F37" s="6"/>
    </row>
    <row r="38" spans="2:6" ht="12.75">
      <c r="B38" s="6" t="s">
        <v>45</v>
      </c>
      <c r="C38" s="6"/>
      <c r="D38" s="6"/>
      <c r="E38" s="6" t="s">
        <v>140</v>
      </c>
      <c r="F38" s="6"/>
    </row>
    <row r="39" spans="2:6" ht="12.75">
      <c r="B39" s="6" t="s">
        <v>46</v>
      </c>
      <c r="C39" s="6"/>
      <c r="D39" s="6"/>
      <c r="E39" s="6" t="s">
        <v>100</v>
      </c>
      <c r="F39" s="6"/>
    </row>
    <row r="40" spans="2:6" ht="12.75">
      <c r="B40" s="6"/>
      <c r="C40" s="6"/>
      <c r="D40" s="6"/>
      <c r="E40" s="6"/>
      <c r="F40" s="6"/>
    </row>
    <row r="41" spans="2:6" ht="12.75">
      <c r="B41" s="6"/>
      <c r="C41" s="6"/>
      <c r="D41" s="6"/>
      <c r="E41" s="6"/>
      <c r="F41" s="6"/>
    </row>
    <row r="42" spans="2:6" ht="12.75">
      <c r="B42" s="6"/>
      <c r="C42" s="6"/>
      <c r="D42" s="29"/>
      <c r="E42" s="6"/>
      <c r="F42" s="6"/>
    </row>
    <row r="43" spans="2:6" ht="12.75">
      <c r="B43" s="6"/>
      <c r="C43" s="6"/>
      <c r="D43" s="30"/>
      <c r="E43" s="6"/>
      <c r="F43" s="6"/>
    </row>
    <row r="44" spans="2:6" ht="12.75">
      <c r="B44" s="6"/>
      <c r="C44" s="6"/>
      <c r="D44" s="6"/>
      <c r="E44" s="6"/>
      <c r="F44" s="6"/>
    </row>
    <row r="45" spans="2:6" ht="12.75">
      <c r="B45" s="6"/>
      <c r="C45" s="6"/>
      <c r="D45" s="6"/>
      <c r="E45" s="6"/>
      <c r="F45" s="6"/>
    </row>
    <row r="46" spans="2:6" ht="12.75">
      <c r="B46" s="6"/>
      <c r="C46" s="6"/>
      <c r="D46" s="6"/>
      <c r="E46" s="6"/>
      <c r="F46" s="6"/>
    </row>
    <row r="47" spans="2:6" ht="12.75">
      <c r="B47" s="6"/>
      <c r="C47" s="6"/>
      <c r="D47" s="6"/>
      <c r="E47" s="31"/>
      <c r="F47" s="6"/>
    </row>
    <row r="48" spans="2:6" ht="12.75">
      <c r="B48" s="6"/>
      <c r="C48" s="6"/>
      <c r="D48" s="6"/>
      <c r="E48" s="31"/>
      <c r="F48" s="6"/>
    </row>
    <row r="49" spans="2:6" ht="12.75">
      <c r="B49" s="6"/>
      <c r="C49" s="6"/>
      <c r="D49" s="6"/>
      <c r="E49" s="31"/>
      <c r="F49" s="6"/>
    </row>
    <row r="50" spans="2:6" ht="12.75">
      <c r="B50" s="6"/>
      <c r="C50" s="6"/>
      <c r="D50" s="6"/>
      <c r="E50" s="6"/>
      <c r="F50" s="6"/>
    </row>
    <row r="51" spans="2:6" ht="12.75">
      <c r="B51" s="6"/>
      <c r="C51" s="6"/>
      <c r="D51" s="6"/>
      <c r="E51" s="6"/>
      <c r="F51" s="6"/>
    </row>
    <row r="52" spans="2:6" ht="12.75">
      <c r="B52" s="6"/>
      <c r="C52" s="6"/>
      <c r="D52" s="6"/>
      <c r="E52" s="6"/>
      <c r="F52" s="6"/>
    </row>
    <row r="53" spans="2:6" ht="12.75">
      <c r="B53" s="6"/>
      <c r="C53" s="6"/>
      <c r="D53" s="6"/>
      <c r="E53" s="6"/>
      <c r="F53" s="6"/>
    </row>
    <row r="54" spans="2:6" ht="12.75">
      <c r="B54" s="6"/>
      <c r="C54" s="6"/>
      <c r="D54" s="6"/>
      <c r="E54" s="6"/>
      <c r="F54" s="6"/>
    </row>
    <row r="55" spans="2:6" ht="12.75">
      <c r="B55" s="6"/>
      <c r="C55" s="6"/>
      <c r="D55" s="6"/>
      <c r="E55" s="6"/>
      <c r="F55" s="6"/>
    </row>
    <row r="56" spans="2:6" ht="12.75">
      <c r="B56" s="6"/>
      <c r="C56" s="6"/>
      <c r="D56" s="6"/>
      <c r="E56" s="6"/>
      <c r="F56" s="6"/>
    </row>
    <row r="57" spans="2:6" ht="12.75">
      <c r="B57" s="6"/>
      <c r="C57" s="6"/>
      <c r="D57" s="6"/>
      <c r="E57" s="6"/>
      <c r="F57" s="6"/>
    </row>
    <row r="58" spans="2:6" ht="12.75">
      <c r="B58" s="6"/>
      <c r="C58" s="6"/>
      <c r="D58" s="6"/>
      <c r="E58" s="6"/>
      <c r="F58" s="6"/>
    </row>
    <row r="59" spans="2:6" ht="12.75">
      <c r="B59" s="6"/>
      <c r="C59" s="6"/>
      <c r="D59" s="6"/>
      <c r="E59" s="6"/>
      <c r="F59" s="6"/>
    </row>
    <row r="60" spans="2:6" ht="12.75">
      <c r="B60" s="6"/>
      <c r="C60" s="6"/>
      <c r="D60" s="6"/>
      <c r="E60" s="6"/>
      <c r="F60" s="6"/>
    </row>
    <row r="61" spans="2:6" ht="12.75">
      <c r="B61" s="6"/>
      <c r="C61" s="6"/>
      <c r="D61" s="6"/>
      <c r="E61" s="6"/>
      <c r="F61" s="6"/>
    </row>
    <row r="62" spans="2:6" ht="12.75">
      <c r="B62" s="6"/>
      <c r="C62" s="6"/>
      <c r="D62" s="6"/>
      <c r="E62" s="6"/>
      <c r="F62" s="6"/>
    </row>
    <row r="63" spans="2:6" ht="12.75">
      <c r="B63" s="6"/>
      <c r="C63" s="6"/>
      <c r="D63" s="6"/>
      <c r="E63" s="6"/>
      <c r="F63" s="6"/>
    </row>
    <row r="64" spans="2:6" ht="12.75">
      <c r="B64" s="6"/>
      <c r="C64" s="6"/>
      <c r="D64" s="6"/>
      <c r="E64" s="6"/>
      <c r="F64" s="6"/>
    </row>
    <row r="65" spans="2:6" ht="12.75">
      <c r="B65" s="6"/>
      <c r="C65" s="6"/>
      <c r="D65" s="6"/>
      <c r="E65" s="6"/>
      <c r="F65" s="6"/>
    </row>
    <row r="66" spans="2:6" ht="12.75">
      <c r="B66" s="6"/>
      <c r="C66" s="6"/>
      <c r="D66" s="6"/>
      <c r="E66" s="6"/>
      <c r="F66" s="6"/>
    </row>
    <row r="67" spans="2:6" ht="12.75">
      <c r="B67" s="6"/>
      <c r="C67" s="6"/>
      <c r="D67" s="6"/>
      <c r="E67" s="6"/>
      <c r="F67" s="6"/>
    </row>
    <row r="68" spans="2:6" ht="12.75">
      <c r="B68" s="6"/>
      <c r="C68" s="6"/>
      <c r="D68" s="6"/>
      <c r="E68" s="6"/>
      <c r="F68" s="6"/>
    </row>
    <row r="69" spans="2:6" ht="12.75">
      <c r="B69" s="6"/>
      <c r="C69" s="6"/>
      <c r="D69" s="6"/>
      <c r="E69" s="6"/>
      <c r="F69" s="6"/>
    </row>
    <row r="70" spans="2:6" ht="12.75">
      <c r="B70" s="6"/>
      <c r="C70" s="6"/>
      <c r="D70" s="6"/>
      <c r="E70" s="6"/>
      <c r="F70" s="6"/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DCMNR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gerry.stanley</dc:creator>
  <cp:keywords/>
  <dc:description/>
  <cp:lastModifiedBy>Fionnuala.NiMairtin</cp:lastModifiedBy>
  <cp:lastPrinted>2008-02-07T09:50:32Z</cp:lastPrinted>
  <dcterms:created xsi:type="dcterms:W3CDTF">2008-02-06T09:56:34Z</dcterms:created>
  <dcterms:modified xsi:type="dcterms:W3CDTF">2009-01-23T10:14:41Z</dcterms:modified>
  <cp:category/>
  <cp:version/>
  <cp:contentType/>
  <cp:contentStatus/>
</cp:coreProperties>
</file>