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325" windowWidth="15210" windowHeight="6060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<sst xmlns="http://schemas.openxmlformats.org/spreadsheetml/2006/main" count="352" uniqueCount="211">
  <si>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</si>
  <si>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</si>
  <si>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</si>
  <si>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</si>
  <si>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</si>
  <si>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</si>
  <si>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</si>
  <si>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</si>
  <si>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</si>
  <si>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</si>
  <si>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</si>
  <si>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</si>
  <si>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</si>
  <si>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</si>
  <si>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</si>
  <si>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</si>
  <si>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</si>
  <si>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</si>
  <si>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</si>
  <si>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</si>
  <si>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</si>
  <si>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</si>
  <si>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</si>
  <si>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</si>
  <si>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</si>
  <si>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</si>
  <si>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</si>
  <si>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</si>
  <si>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</si>
  <si>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</si>
  <si>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</si>
  <si>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</si>
  <si>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</si>
  <si>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</si>
  <si>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</si>
  <si>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</si>
  <si>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</si>
  <si>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</si>
  <si>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</si>
  <si>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</si>
  <si>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</si>
  <si>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</si>
  <si>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</si>
  <si>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</si>
  <si>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</si>
  <si>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</si>
  <si>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</si>
  <si>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</si>
  <si>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</si>
  <si>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</si>
  <si>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</si>
  <si>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</si>
  <si>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</si>
  <si>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Exceedances of drinking water standards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</si>
  <si>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</si>
  <si>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</si>
  <si>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</si>
  <si>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</si>
  <si>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</si>
  <si>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</si>
  <si>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</si>
  <si>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</si>
  <si>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</si>
  <si>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</si>
  <si>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</si>
  <si>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</si>
  <si>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</si>
  <si>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</si>
  <si>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</si>
  <si>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</si>
  <si>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</si>
  <si>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</si>
  <si>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</si>
  <si>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</si>
  <si>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</si>
  <si>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</si>
  <si>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</si>
  <si>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</si>
  <si>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</si>
  <si>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</si>
  <si>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</si>
  <si>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</si>
  <si>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</si>
  <si>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</si>
  <si>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</si>
  <si>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</si>
  <si>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</si>
  <si>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</si>
  <si>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</si>
  <si>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</si>
  <si>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</si>
  <si>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</si>
  <si>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</si>
  <si>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</si>
  <si>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</si>
  <si>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</si>
  <si>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</si>
  <si>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</si>
  <si>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</si>
  <si>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</si>
  <si>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</si>
  <si>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</si>
  <si>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</si>
  <si>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</si>
  <si>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</si>
  <si>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</si>
  <si>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</si>
  <si>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</si>
  <si>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</si>
  <si>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</si>
  <si>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</si>
  <si>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</si>
  <si>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</si>
  <si>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</si>
  <si>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</si>
  <si>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</si>
  <si>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</si>
  <si>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</si>
  <si>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</si>
  <si>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</si>
  <si>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</si>
  <si>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</si>
  <si>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</si>
  <si>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</si>
  <si>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</si>
  <si>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</si>
  <si>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</si>
  <si>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</si>
  <si>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</si>
  <si>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</si>
  <si>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</si>
  <si>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</si>
  <si>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</si>
  <si>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</si>
  <si>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</si>
  <si>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</si>
  <si>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</si>
  <si>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</si>
  <si>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</si>
  <si>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</si>
  <si>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</si>
  <si>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</si>
  <si>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</si>
  <si>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</si>
  <si>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</si>
  <si>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</si>
  <si>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</si>
  <si>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</si>
  <si>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</si>
  <si>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</si>
  <si>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</si>
  <si>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</si>
  <si>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</si>
  <si>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</si>
  <si>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</si>
  <si>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</si>
  <si>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</si>
  <si>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</si>
  <si>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</si>
  <si>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</si>
  <si>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</si>
  <si>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</si>
  <si>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</si>
  <si>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</si>
  <si>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</si>
  <si>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</si>
  <si>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</si>
  <si>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</si>
  <si>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</si>
  <si>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</si>
  <si>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</si>
  <si>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</si>
  <si>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</si>
  <si>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</si>
  <si>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</si>
  <si>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</si>
  <si>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</si>
  <si>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</si>
  <si>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</si>
  <si>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</si>
  <si>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</si>
  <si>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</si>
  <si>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</si>
  <si>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</si>
  <si>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</si>
  <si>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</si>
  <si>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</si>
  <si>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</si>
  <si>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</si>
  <si>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</si>
  <si>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</si>
  <si>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</si>
  <si>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</si>
  <si>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</si>
  <si>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</si>
  <si>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</si>
  <si>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</si>
  <si>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</si>
  <si>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Tynagh</t>
  </si>
  <si>
    <t>3rd Sept 2008</t>
  </si>
  <si>
    <t>Fionnuala Ni Mhairtin</t>
  </si>
  <si>
    <t>Fionnuala Ni Mairtin</t>
  </si>
  <si>
    <t>TYN_TA02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</si>
  <si>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</si>
  <si>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</si>
  <si>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</si>
  <si>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</si>
  <si>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</si>
  <si>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</si>
  <si>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HMS - SS Overall Score for Individual waste pile or discharge</t>
  </si>
  <si>
    <t>TOTAL HMS-SS SCORE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</si>
</sst>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4.14062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9" t="s">
        <v>204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109</v>
      </c>
      <c r="B2" s="50"/>
      <c r="C2" s="50"/>
      <c r="D2" s="50"/>
      <c r="E2" s="50"/>
      <c r="F2" s="50"/>
      <c r="G2" s="50"/>
      <c r="H2" s="50"/>
      <c r="I2" s="50"/>
    </row>
    <row r="3" ht="3.75" customHeight="1"/>
    <row r="4" spans="1:11" ht="12.75">
      <c r="A4" s="19" t="s">
        <v>8</v>
      </c>
      <c r="B4" t="s">
        <v>198</v>
      </c>
      <c r="D4" s="3" t="s">
        <v>130</v>
      </c>
      <c r="I4" s="43"/>
      <c r="K4">
        <f>K17*(F42+I42)/10000+D44</f>
        <v>120.95269169999996</v>
      </c>
    </row>
    <row r="5" spans="1:9" ht="3.75" customHeight="1">
      <c r="A5" s="19"/>
      <c r="I5" s="44"/>
    </row>
    <row r="6" spans="1:11" ht="12.75">
      <c r="A6" s="19" t="s">
        <v>7</v>
      </c>
      <c r="B6" t="s">
        <v>202</v>
      </c>
      <c r="D6" s="3" t="s">
        <v>131</v>
      </c>
      <c r="I6" s="43"/>
      <c r="K6">
        <f>(K17*(F42+G42+I42)+IF(B14="YES",K17*142,0))/10000+D44</f>
        <v>130.8218546</v>
      </c>
    </row>
    <row r="7" spans="1:9" ht="3.75" customHeight="1">
      <c r="A7" s="19"/>
      <c r="I7" s="44"/>
    </row>
    <row r="8" spans="1:11" ht="12.75">
      <c r="A8" s="19" t="s">
        <v>9</v>
      </c>
      <c r="B8" t="s">
        <v>199</v>
      </c>
      <c r="D8" s="3" t="s">
        <v>132</v>
      </c>
      <c r="I8" s="43"/>
      <c r="K8">
        <f>IF(G20="","ERROR",(I20*D42)/10000)</f>
        <v>8.525345020000001</v>
      </c>
    </row>
    <row r="9" spans="1:9" ht="3.75" customHeight="1">
      <c r="A9" s="19"/>
      <c r="I9" s="44"/>
    </row>
    <row r="10" spans="1:11" ht="12.75">
      <c r="A10" s="19" t="s">
        <v>10</v>
      </c>
      <c r="B10" t="s">
        <v>200</v>
      </c>
      <c r="D10" s="3" t="s">
        <v>133</v>
      </c>
      <c r="I10" s="43"/>
      <c r="K10">
        <f>IF(G20="","ERROR",(I20*D42)/10000)</f>
        <v>8.525345020000001</v>
      </c>
    </row>
    <row r="11" ht="3.75" customHeight="1">
      <c r="I11" s="44"/>
    </row>
    <row r="12" spans="1:11" ht="12.75">
      <c r="A12" s="19" t="s">
        <v>116</v>
      </c>
      <c r="B12" s="46" t="s">
        <v>118</v>
      </c>
      <c r="D12" s="3" t="s">
        <v>169</v>
      </c>
      <c r="I12" s="43"/>
      <c r="K12">
        <f>(K4+K6+K8+K10)</f>
        <v>268.8252363399999</v>
      </c>
    </row>
    <row r="13" spans="1:4" ht="3.75" customHeight="1">
      <c r="A13" s="19"/>
      <c r="D13" s="3"/>
    </row>
    <row r="14" spans="1:4" ht="25.5">
      <c r="A14" s="41" t="s">
        <v>170</v>
      </c>
      <c r="B14" t="s">
        <v>50</v>
      </c>
      <c r="D14" s="3"/>
    </row>
    <row r="15" ht="7.5" customHeight="1"/>
    <row r="16" ht="12.75">
      <c r="A16" s="3" t="s">
        <v>115</v>
      </c>
    </row>
    <row r="17" spans="2:11" ht="14.25">
      <c r="B17" t="s">
        <v>120</v>
      </c>
      <c r="G17">
        <v>1396365</v>
      </c>
      <c r="K17">
        <f>IF(G17&gt;=1000000,100,IF(G17&lt;1000,1,(1+G17/10000)))</f>
        <v>100</v>
      </c>
    </row>
    <row r="18" ht="3.75" customHeight="1"/>
    <row r="19" ht="3.75" customHeight="1"/>
    <row r="20" spans="2:9" ht="14.25">
      <c r="B20" t="s">
        <v>121</v>
      </c>
      <c r="G20">
        <v>253462</v>
      </c>
      <c r="I20">
        <f>IF(G20&lt;100,0.001,IF(G20&lt;1000,0.01,IF(G20&lt;10000,0.1,IF(G20&lt;100000,1,IF(G20&lt;1000000,10,IF(G20&lt;10000000,100,1000))))))</f>
        <v>10</v>
      </c>
    </row>
    <row r="21" ht="18.75" customHeight="1"/>
    <row r="22" spans="4:17" ht="12.75" customHeight="1">
      <c r="D22" s="48" t="s">
        <v>123</v>
      </c>
      <c r="E22" s="48"/>
      <c r="F22" s="48" t="s">
        <v>124</v>
      </c>
      <c r="G22" s="48"/>
      <c r="H22" s="48"/>
      <c r="I22" s="48"/>
      <c r="J22" s="35"/>
      <c r="K22" s="48" t="s">
        <v>123</v>
      </c>
      <c r="L22" s="48"/>
      <c r="M22" s="48" t="s">
        <v>124</v>
      </c>
      <c r="N22" s="48"/>
      <c r="O22" s="48"/>
      <c r="P22" s="48"/>
      <c r="Q22" s="35"/>
    </row>
    <row r="23" spans="1:16" ht="38.25">
      <c r="A23" s="3" t="s">
        <v>122</v>
      </c>
      <c r="C23" s="34"/>
      <c r="D23" s="36" t="s">
        <v>203</v>
      </c>
      <c r="E23" s="36" t="s">
        <v>126</v>
      </c>
      <c r="F23" s="36" t="s">
        <v>125</v>
      </c>
      <c r="G23" s="36" t="s">
        <v>127</v>
      </c>
      <c r="H23" s="36" t="s">
        <v>128</v>
      </c>
      <c r="I23" s="36" t="s">
        <v>126</v>
      </c>
      <c r="K23" s="36" t="s">
        <v>203</v>
      </c>
      <c r="L23" s="36" t="s">
        <v>126</v>
      </c>
      <c r="M23" s="36" t="s">
        <v>125</v>
      </c>
      <c r="N23" s="36" t="s">
        <v>127</v>
      </c>
      <c r="O23" s="36" t="s">
        <v>128</v>
      </c>
      <c r="P23" s="36" t="s">
        <v>126</v>
      </c>
    </row>
    <row r="24" spans="1:16" ht="12.75">
      <c r="A24" t="s">
        <v>146</v>
      </c>
      <c r="B24" s="32" t="s">
        <v>179</v>
      </c>
      <c r="C24" s="40">
        <v>0</v>
      </c>
      <c r="D24" s="38">
        <f>C24*K24</f>
        <v>0</v>
      </c>
      <c r="E24" s="38">
        <f aca="true" t="shared" si="0" ref="E24:E40">C24*L24</f>
        <v>0</v>
      </c>
      <c r="F24" s="38">
        <f aca="true" t="shared" si="1" ref="F24:F40">C24*M24</f>
        <v>0</v>
      </c>
      <c r="G24" s="38">
        <f aca="true" t="shared" si="2" ref="G24:G40">C24*N24</f>
        <v>0</v>
      </c>
      <c r="H24" s="38">
        <f aca="true" t="shared" si="3" ref="H24:H40">C24*O24</f>
        <v>0</v>
      </c>
      <c r="I24" s="38">
        <f aca="true" t="shared" si="4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147</v>
      </c>
      <c r="B25" s="32" t="s">
        <v>180</v>
      </c>
      <c r="C25" s="40">
        <v>90.87</v>
      </c>
      <c r="D25" s="38">
        <f>C25*K25</f>
        <v>908.7</v>
      </c>
      <c r="E25" s="38">
        <f t="shared" si="0"/>
        <v>9.087000000000002</v>
      </c>
      <c r="F25" s="38">
        <f t="shared" si="1"/>
        <v>908.7</v>
      </c>
      <c r="G25" s="38">
        <f t="shared" si="2"/>
        <v>0.9087000000000001</v>
      </c>
      <c r="H25" s="38">
        <f t="shared" si="3"/>
        <v>9.087000000000002</v>
      </c>
      <c r="I25" s="38">
        <f t="shared" si="4"/>
        <v>9.087000000000002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148</v>
      </c>
      <c r="B26" s="32" t="s">
        <v>181</v>
      </c>
      <c r="C26" s="40">
        <v>12329.49</v>
      </c>
      <c r="D26" s="38">
        <f>C26*K26</f>
        <v>123.2949</v>
      </c>
      <c r="E26" s="38">
        <f t="shared" si="0"/>
        <v>123.2949</v>
      </c>
      <c r="F26" s="38">
        <f t="shared" si="1"/>
        <v>123.2949</v>
      </c>
      <c r="G26" s="38">
        <f t="shared" si="2"/>
        <v>12.32949</v>
      </c>
      <c r="H26" s="38">
        <f t="shared" si="3"/>
        <v>12.32949</v>
      </c>
      <c r="I26" s="38">
        <f t="shared" si="4"/>
        <v>123.2949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149</v>
      </c>
      <c r="B27" s="32" t="s">
        <v>182</v>
      </c>
      <c r="C27" s="40">
        <v>0</v>
      </c>
      <c r="D27" s="38">
        <f>C27*K27</f>
        <v>0</v>
      </c>
      <c r="E27" s="38">
        <f t="shared" si="0"/>
        <v>0</v>
      </c>
      <c r="F27" s="38">
        <f t="shared" si="1"/>
        <v>0</v>
      </c>
      <c r="G27" s="38">
        <f t="shared" si="2"/>
        <v>0</v>
      </c>
      <c r="H27" s="38">
        <f t="shared" si="3"/>
        <v>0</v>
      </c>
      <c r="I27" s="38">
        <f t="shared" si="4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150</v>
      </c>
      <c r="B28" s="32" t="s">
        <v>183</v>
      </c>
      <c r="C28" s="40">
        <v>210.14</v>
      </c>
      <c r="D28" s="38"/>
      <c r="E28" s="38">
        <f t="shared" si="0"/>
        <v>21.014</v>
      </c>
      <c r="F28" s="38">
        <f t="shared" si="1"/>
        <v>2101.3999999999996</v>
      </c>
      <c r="G28" s="38">
        <f t="shared" si="2"/>
        <v>21.014</v>
      </c>
      <c r="H28" s="38">
        <f t="shared" si="3"/>
        <v>21.014</v>
      </c>
      <c r="I28" s="38">
        <f t="shared" si="4"/>
        <v>21.014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196</v>
      </c>
      <c r="B29" s="32" t="s">
        <v>197</v>
      </c>
      <c r="C29" s="40">
        <v>153.34</v>
      </c>
      <c r="D29" s="38">
        <f aca="true" t="shared" si="5" ref="D29:D40">C29*K29</f>
        <v>0</v>
      </c>
      <c r="E29" s="38">
        <f t="shared" si="0"/>
        <v>15.334000000000001</v>
      </c>
      <c r="F29" s="38">
        <f t="shared" si="1"/>
        <v>0</v>
      </c>
      <c r="G29" s="38">
        <f t="shared" si="2"/>
        <v>153.34</v>
      </c>
      <c r="H29" s="38">
        <f t="shared" si="3"/>
        <v>153.34</v>
      </c>
      <c r="I29" s="38">
        <f t="shared" si="4"/>
        <v>15.334000000000001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151</v>
      </c>
      <c r="B30" s="32" t="s">
        <v>184</v>
      </c>
      <c r="C30" s="40">
        <v>4043.22</v>
      </c>
      <c r="D30" s="38">
        <f t="shared" si="5"/>
        <v>4.04322</v>
      </c>
      <c r="E30" s="38">
        <f t="shared" si="0"/>
        <v>40.4322</v>
      </c>
      <c r="F30" s="38">
        <f t="shared" si="1"/>
        <v>4.04322</v>
      </c>
      <c r="G30" s="38">
        <f t="shared" si="2"/>
        <v>40.4322</v>
      </c>
      <c r="H30" s="38">
        <f t="shared" si="3"/>
        <v>40.4322</v>
      </c>
      <c r="I30" s="38">
        <f t="shared" si="4"/>
        <v>40.4322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152</v>
      </c>
      <c r="B31" s="32" t="s">
        <v>185</v>
      </c>
      <c r="C31" s="40">
        <v>742.6</v>
      </c>
      <c r="D31" s="38">
        <f t="shared" si="5"/>
        <v>7426</v>
      </c>
      <c r="E31" s="38">
        <f t="shared" si="0"/>
        <v>742.6</v>
      </c>
      <c r="F31" s="38">
        <f t="shared" si="1"/>
        <v>7426</v>
      </c>
      <c r="G31" s="38">
        <f t="shared" si="2"/>
        <v>742.6</v>
      </c>
      <c r="H31" s="38">
        <f t="shared" si="3"/>
        <v>742.6</v>
      </c>
      <c r="I31" s="38">
        <f t="shared" si="4"/>
        <v>742.6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153</v>
      </c>
      <c r="B32" s="32" t="s">
        <v>186</v>
      </c>
      <c r="C32" s="40">
        <v>470.15</v>
      </c>
      <c r="D32" s="38">
        <f t="shared" si="5"/>
        <v>47.015</v>
      </c>
      <c r="E32" s="38">
        <f t="shared" si="0"/>
        <v>0.47015</v>
      </c>
      <c r="F32" s="38">
        <f t="shared" si="1"/>
        <v>47.015</v>
      </c>
      <c r="G32" s="38">
        <f t="shared" si="2"/>
        <v>0</v>
      </c>
      <c r="H32" s="38">
        <f t="shared" si="3"/>
        <v>0</v>
      </c>
      <c r="I32" s="38">
        <f t="shared" si="4"/>
        <v>0.47015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154</v>
      </c>
      <c r="B33" s="32" t="s">
        <v>187</v>
      </c>
      <c r="C33" s="40">
        <v>0</v>
      </c>
      <c r="D33" s="38">
        <f t="shared" si="5"/>
        <v>0</v>
      </c>
      <c r="E33" s="38">
        <f t="shared" si="0"/>
        <v>0</v>
      </c>
      <c r="F33" s="38">
        <f t="shared" si="1"/>
        <v>0</v>
      </c>
      <c r="G33" s="38">
        <f t="shared" si="2"/>
        <v>0</v>
      </c>
      <c r="H33" s="38">
        <f t="shared" si="3"/>
        <v>0</v>
      </c>
      <c r="I33" s="38">
        <f t="shared" si="4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155</v>
      </c>
      <c r="B34" s="32" t="s">
        <v>188</v>
      </c>
      <c r="C34" s="40">
        <v>0</v>
      </c>
      <c r="D34" s="38">
        <f t="shared" si="5"/>
        <v>0</v>
      </c>
      <c r="E34" s="38">
        <f t="shared" si="0"/>
        <v>0</v>
      </c>
      <c r="F34" s="38">
        <f t="shared" si="1"/>
        <v>0</v>
      </c>
      <c r="G34" s="38">
        <f t="shared" si="2"/>
        <v>0</v>
      </c>
      <c r="H34" s="38">
        <f t="shared" si="3"/>
        <v>0</v>
      </c>
      <c r="I34" s="38">
        <f t="shared" si="4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156</v>
      </c>
      <c r="B35" s="32" t="s">
        <v>189</v>
      </c>
      <c r="C35" s="40">
        <v>0</v>
      </c>
      <c r="D35" s="38">
        <f t="shared" si="5"/>
        <v>0</v>
      </c>
      <c r="E35" s="38">
        <f t="shared" si="0"/>
        <v>0</v>
      </c>
      <c r="F35" s="38">
        <f t="shared" si="1"/>
        <v>0</v>
      </c>
      <c r="G35" s="38">
        <f t="shared" si="2"/>
        <v>0</v>
      </c>
      <c r="H35" s="38">
        <f t="shared" si="3"/>
        <v>0</v>
      </c>
      <c r="I35" s="38">
        <f t="shared" si="4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157</v>
      </c>
      <c r="B36" s="32" t="s">
        <v>190</v>
      </c>
      <c r="C36" s="40">
        <v>0</v>
      </c>
      <c r="D36" s="38">
        <f t="shared" si="5"/>
        <v>0</v>
      </c>
      <c r="E36" s="38">
        <f t="shared" si="0"/>
        <v>0</v>
      </c>
      <c r="F36" s="38">
        <f t="shared" si="1"/>
        <v>0</v>
      </c>
      <c r="G36" s="38">
        <f t="shared" si="2"/>
        <v>0</v>
      </c>
      <c r="H36" s="38">
        <f t="shared" si="3"/>
        <v>0</v>
      </c>
      <c r="I36" s="38">
        <f t="shared" si="4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158</v>
      </c>
      <c r="B37" s="32" t="s">
        <v>191</v>
      </c>
      <c r="C37" s="40">
        <v>0</v>
      </c>
      <c r="D37" s="38">
        <f t="shared" si="5"/>
        <v>0</v>
      </c>
      <c r="E37" s="38">
        <f t="shared" si="0"/>
        <v>0</v>
      </c>
      <c r="F37" s="38">
        <f t="shared" si="1"/>
        <v>0</v>
      </c>
      <c r="G37" s="38">
        <f t="shared" si="2"/>
        <v>0</v>
      </c>
      <c r="H37" s="38">
        <f t="shared" si="3"/>
        <v>0</v>
      </c>
      <c r="I37" s="38">
        <f t="shared" si="4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159</v>
      </c>
      <c r="B38" s="32" t="s">
        <v>192</v>
      </c>
      <c r="C38" s="40">
        <v>0</v>
      </c>
      <c r="D38" s="38">
        <f t="shared" si="5"/>
        <v>0</v>
      </c>
      <c r="E38" s="38">
        <f t="shared" si="0"/>
        <v>0</v>
      </c>
      <c r="F38" s="38">
        <f t="shared" si="1"/>
        <v>0</v>
      </c>
      <c r="G38" s="38">
        <f t="shared" si="2"/>
        <v>0</v>
      </c>
      <c r="H38" s="38">
        <f t="shared" si="3"/>
        <v>0</v>
      </c>
      <c r="I38" s="38">
        <f t="shared" si="4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160</v>
      </c>
      <c r="B39" s="32" t="s">
        <v>193</v>
      </c>
      <c r="C39" s="40">
        <v>0</v>
      </c>
      <c r="D39" s="38">
        <f t="shared" si="5"/>
        <v>0</v>
      </c>
      <c r="E39" s="38">
        <f t="shared" si="0"/>
        <v>0</v>
      </c>
      <c r="F39" s="38">
        <f t="shared" si="1"/>
        <v>0</v>
      </c>
      <c r="G39" s="38">
        <f t="shared" si="2"/>
        <v>0</v>
      </c>
      <c r="H39" s="38">
        <f t="shared" si="3"/>
        <v>0</v>
      </c>
      <c r="I39" s="38">
        <f t="shared" si="4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161</v>
      </c>
      <c r="B40" s="32" t="s">
        <v>194</v>
      </c>
      <c r="C40" s="40">
        <v>1629.19</v>
      </c>
      <c r="D40" s="38">
        <f t="shared" si="5"/>
        <v>16.291900000000002</v>
      </c>
      <c r="E40" s="38">
        <f t="shared" si="0"/>
        <v>16.291900000000002</v>
      </c>
      <c r="F40" s="38">
        <f t="shared" si="1"/>
        <v>16.291900000000002</v>
      </c>
      <c r="G40" s="38">
        <f t="shared" si="2"/>
        <v>16.291900000000002</v>
      </c>
      <c r="H40" s="38">
        <f t="shared" si="3"/>
        <v>162.919</v>
      </c>
      <c r="I40" s="38">
        <f t="shared" si="4"/>
        <v>16.291900000000002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129</v>
      </c>
      <c r="D42" s="39">
        <f aca="true" t="shared" si="6" ref="D42:I42">SUM(D24:D40)</f>
        <v>8525.34502</v>
      </c>
      <c r="E42" s="39">
        <f t="shared" si="6"/>
        <v>968.5241500000001</v>
      </c>
      <c r="F42" s="39">
        <f t="shared" si="6"/>
        <v>10626.745019999998</v>
      </c>
      <c r="G42" s="39">
        <f t="shared" si="6"/>
        <v>986.9162900000001</v>
      </c>
      <c r="H42" s="39">
        <f t="shared" si="6"/>
        <v>1141.72169</v>
      </c>
      <c r="I42" s="39">
        <f t="shared" si="6"/>
        <v>968.5241500000001</v>
      </c>
    </row>
    <row r="44" spans="2:4" ht="12.75">
      <c r="B44" s="32" t="s">
        <v>177</v>
      </c>
      <c r="C44">
        <v>87.2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6">
      <selection activeCell="B8" sqref="B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9" t="s">
        <v>205</v>
      </c>
      <c r="B1" s="49"/>
      <c r="C1" s="49"/>
      <c r="D1" s="49"/>
      <c r="E1" s="49"/>
    </row>
    <row r="2" spans="1:5" ht="15.75">
      <c r="A2" s="50" t="s">
        <v>109</v>
      </c>
      <c r="B2" s="50"/>
      <c r="C2" s="50"/>
      <c r="D2" s="50"/>
      <c r="E2" s="50"/>
    </row>
    <row r="3" ht="3.75" customHeight="1"/>
    <row r="4" spans="1:2" ht="12.75">
      <c r="A4" s="19" t="s">
        <v>8</v>
      </c>
      <c r="B4" t="s">
        <v>198</v>
      </c>
    </row>
    <row r="5" ht="3.75" customHeight="1">
      <c r="A5" s="19"/>
    </row>
    <row r="6" spans="1:2" ht="12.75">
      <c r="A6" s="19" t="s">
        <v>7</v>
      </c>
      <c r="B6" t="s">
        <v>202</v>
      </c>
    </row>
    <row r="7" ht="3.75" customHeight="1">
      <c r="A7" s="19"/>
    </row>
    <row r="8" spans="1:2" ht="12.75">
      <c r="A8" s="19" t="s">
        <v>9</v>
      </c>
      <c r="B8" t="s">
        <v>199</v>
      </c>
    </row>
    <row r="9" ht="3.75" customHeight="1">
      <c r="A9" s="19"/>
    </row>
    <row r="10" spans="1:2" ht="12.75">
      <c r="A10" s="19" t="s">
        <v>10</v>
      </c>
      <c r="B10" t="s">
        <v>200</v>
      </c>
    </row>
    <row r="11" ht="7.5" customHeight="1"/>
    <row r="12" spans="1:5" ht="12.75" customHeight="1">
      <c r="A12" s="4"/>
      <c r="B12" s="7" t="s">
        <v>55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53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26.25" thickBot="1">
      <c r="B19" s="11" t="s">
        <v>29</v>
      </c>
      <c r="C19" s="9" t="s">
        <v>25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10</v>
      </c>
    </row>
    <row r="20" spans="2:5" ht="13.5" thickBot="1">
      <c r="B20" t="s">
        <v>143</v>
      </c>
      <c r="C20" s="45">
        <v>3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600</v>
      </c>
    </row>
    <row r="23" ht="7.5" customHeight="1"/>
    <row r="24" spans="1:5" ht="12.75">
      <c r="A24" s="3" t="s">
        <v>1</v>
      </c>
      <c r="B24" s="3" t="s">
        <v>139</v>
      </c>
      <c r="E24" s="42">
        <f>'1. Waste hazard'!K4</f>
        <v>120.95269169999996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17</v>
      </c>
      <c r="E26" s="10">
        <f>IF(J26&lt;&gt;"ERROR",J26,K26)</f>
        <v>5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5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28</v>
      </c>
      <c r="E28">
        <f>C28*3</f>
        <v>84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89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43</v>
      </c>
      <c r="E33">
        <f>IF(C33="Extreme (rock near surface or karst)",1,IF(C33="Extreme",1,IF(C33="High",0.8,IF(C33="High to low",0.5,IF(C33="Moderate",0.4,IF(C33="Low",0.25,IF(C33="no data",0.5)))))))</f>
        <v>0.5</v>
      </c>
    </row>
    <row r="34" ht="3.75" customHeight="1"/>
    <row r="35" spans="2:5" ht="12.75">
      <c r="B35" s="3" t="s">
        <v>37</v>
      </c>
      <c r="E35" s="3">
        <f>INT(E31*E33+0.5)</f>
        <v>45</v>
      </c>
    </row>
    <row r="36" ht="7.5" customHeight="1"/>
    <row r="37" spans="2:5" ht="15.75">
      <c r="B37" s="4" t="s">
        <v>47</v>
      </c>
      <c r="E37" s="20">
        <f>E22*E24*E35</f>
        <v>3265722.675899999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9">
      <selection activeCell="D8" sqref="D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9" t="s">
        <v>206</v>
      </c>
      <c r="B1" s="49"/>
      <c r="C1" s="49"/>
      <c r="D1" s="49"/>
      <c r="E1" s="49"/>
    </row>
    <row r="2" spans="1:5" ht="15.75">
      <c r="A2" s="50" t="s">
        <v>109</v>
      </c>
      <c r="B2" s="50"/>
      <c r="C2" s="50"/>
      <c r="D2" s="50"/>
      <c r="E2" s="50"/>
    </row>
    <row r="3" ht="3.75" customHeight="1"/>
    <row r="4" spans="1:2" ht="12.75">
      <c r="A4" s="19" t="s">
        <v>8</v>
      </c>
      <c r="B4" t="s">
        <v>198</v>
      </c>
    </row>
    <row r="5" ht="3.75" customHeight="1">
      <c r="A5" s="19"/>
    </row>
    <row r="6" spans="1:2" ht="12.75">
      <c r="A6" s="19" t="s">
        <v>7</v>
      </c>
      <c r="B6" t="s">
        <v>202</v>
      </c>
    </row>
    <row r="7" ht="3.75" customHeight="1">
      <c r="A7" s="19"/>
    </row>
    <row r="8" spans="1:2" ht="12.75">
      <c r="A8" s="19" t="s">
        <v>9</v>
      </c>
      <c r="B8" t="s">
        <v>199</v>
      </c>
    </row>
    <row r="9" ht="3.75" customHeight="1">
      <c r="A9" s="19"/>
    </row>
    <row r="10" spans="1:2" ht="12.75">
      <c r="A10" s="19" t="s">
        <v>10</v>
      </c>
      <c r="B10" t="s">
        <v>201</v>
      </c>
    </row>
    <row r="11" ht="7.5" customHeight="1"/>
    <row r="12" spans="1:5" ht="12.75" customHeight="1">
      <c r="A12" s="4"/>
      <c r="B12" s="7" t="s">
        <v>55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162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7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61</v>
      </c>
      <c r="C20" s="25" t="s">
        <v>31</v>
      </c>
      <c r="E20">
        <f>IF(C20="&lt;10m",10,IF(C20="10 - 30m",5,IF(C20="&gt;30m",1)))</f>
        <v>10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139</v>
      </c>
      <c r="E24" s="42">
        <f>'1. Waste hazard'!K6</f>
        <v>130.8218546</v>
      </c>
    </row>
    <row r="25" ht="7.5" customHeight="1" thickBot="1"/>
    <row r="26" spans="1:5" ht="26.25" thickBot="1">
      <c r="A26" s="26" t="s">
        <v>2</v>
      </c>
      <c r="B26" s="11" t="s">
        <v>78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171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62</v>
      </c>
    </row>
    <row r="31" spans="2:5" ht="13.5" thickBot="1">
      <c r="B31" t="s">
        <v>63</v>
      </c>
      <c r="C31" s="1" t="s">
        <v>68</v>
      </c>
      <c r="E31">
        <f>IF(C31="Salmonid",20,IF(C31="No classification",0))</f>
        <v>0</v>
      </c>
    </row>
    <row r="32" spans="2:5" ht="13.5" thickBot="1">
      <c r="B32" t="s">
        <v>64</v>
      </c>
      <c r="C32" s="1" t="s">
        <v>69</v>
      </c>
      <c r="E32">
        <f>IF(C32="Observed (fishing or boating or swimming, etc.)",5,IF(C32="Not observed",0))</f>
        <v>0</v>
      </c>
    </row>
    <row r="33" spans="2:5" ht="13.5" thickBot="1">
      <c r="B33" t="s">
        <v>65</v>
      </c>
      <c r="C33" s="1" t="s">
        <v>76</v>
      </c>
      <c r="E33">
        <f>IF(C33="Yes (National Park, SAC, NHA)",20,IF(C33="No designation",0))</f>
        <v>0</v>
      </c>
    </row>
    <row r="34" spans="2:5" ht="13.5" thickBot="1">
      <c r="B34" t="s">
        <v>66</v>
      </c>
      <c r="C34" s="28" t="s">
        <v>49</v>
      </c>
      <c r="E34">
        <f>IF(C34="Yes",20,IF(C34="Unknown",10))</f>
        <v>20</v>
      </c>
    </row>
    <row r="35" ht="3.75" customHeight="1"/>
    <row r="36" spans="2:5" ht="12.75">
      <c r="B36" s="3" t="s">
        <v>37</v>
      </c>
      <c r="E36" s="15">
        <f>E26+E28+E31+E32+E33+E34</f>
        <v>20</v>
      </c>
    </row>
    <row r="37" ht="7.5" customHeight="1"/>
    <row r="38" spans="2:5" ht="15.75">
      <c r="B38" s="4" t="s">
        <v>77</v>
      </c>
      <c r="E38" s="20">
        <f>E22*E24*E36</f>
        <v>2093149.6735999999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3">
      <selection activeCell="B16" sqref="B1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9" t="s">
        <v>207</v>
      </c>
      <c r="B1" s="49"/>
      <c r="C1" s="49"/>
      <c r="D1" s="49"/>
      <c r="E1" s="49"/>
    </row>
    <row r="2" spans="1:5" ht="15.75">
      <c r="A2" s="50" t="s">
        <v>109</v>
      </c>
      <c r="B2" s="50"/>
      <c r="C2" s="50"/>
      <c r="D2" s="50"/>
      <c r="E2" s="50"/>
    </row>
    <row r="3" ht="3.75" customHeight="1"/>
    <row r="4" spans="1:2" ht="12.75">
      <c r="A4" s="19" t="s">
        <v>8</v>
      </c>
      <c r="B4" t="s">
        <v>198</v>
      </c>
    </row>
    <row r="5" ht="3.75" customHeight="1">
      <c r="A5" s="19"/>
    </row>
    <row r="6" spans="1:2" ht="12.75">
      <c r="A6" s="19" t="s">
        <v>7</v>
      </c>
      <c r="B6" t="s">
        <v>202</v>
      </c>
    </row>
    <row r="7" ht="3.75" customHeight="1">
      <c r="A7" s="19"/>
    </row>
    <row r="8" spans="1:2" ht="12.75">
      <c r="A8" s="19" t="s">
        <v>9</v>
      </c>
      <c r="B8" t="s">
        <v>199</v>
      </c>
    </row>
    <row r="9" ht="3.75" customHeight="1">
      <c r="A9" s="19"/>
    </row>
    <row r="10" spans="1:2" ht="12.75">
      <c r="A10" s="19" t="s">
        <v>10</v>
      </c>
      <c r="B10" t="s">
        <v>200</v>
      </c>
    </row>
    <row r="11" ht="7.5" customHeight="1"/>
    <row r="12" spans="1:5" ht="15.75">
      <c r="A12" s="4"/>
      <c r="B12" s="7" t="s">
        <v>55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80</v>
      </c>
      <c r="C16" t="s">
        <v>165</v>
      </c>
      <c r="E16">
        <f>IF(C16="High dust potential (&lt;50% cover or screening)",300,IF(C16="Moderate dust potential (50-75% cover)",200,IF(C16="Low dust potential (75-95% cover)",100,IF(C16="No dust potential (&gt;95% cover)",10))))</f>
        <v>10</v>
      </c>
    </row>
    <row r="17" ht="3.75" customHeight="1"/>
    <row r="18" spans="2:5" ht="12.75">
      <c r="B18" s="3" t="s">
        <v>4</v>
      </c>
      <c r="E18" s="3">
        <f>E14+E16</f>
        <v>10</v>
      </c>
    </row>
    <row r="19" ht="7.5" customHeight="1"/>
    <row r="20" spans="1:5" ht="12.75">
      <c r="A20" s="3" t="s">
        <v>1</v>
      </c>
      <c r="B20" s="3" t="s">
        <v>139</v>
      </c>
      <c r="E20" s="42">
        <f>'1. Waste hazard'!K8</f>
        <v>8.525345020000001</v>
      </c>
    </row>
    <row r="21" ht="7.5" customHeight="1"/>
    <row r="22" spans="1:5" ht="12.75">
      <c r="A22" s="3" t="s">
        <v>2</v>
      </c>
      <c r="B22" t="s">
        <v>81</v>
      </c>
      <c r="C22">
        <v>84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97</v>
      </c>
      <c r="C24" s="10">
        <v>176</v>
      </c>
      <c r="D24" s="10"/>
      <c r="E24" s="10">
        <f>IF(C24&lt;100,20,IF(C24&lt;200,15,IF(C24&lt;300,10,5)))</f>
        <v>15</v>
      </c>
    </row>
    <row r="25" ht="3.75" customHeight="1"/>
    <row r="26" spans="2:5" ht="25.5">
      <c r="B26" s="6" t="s">
        <v>145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45</v>
      </c>
    </row>
    <row r="29" ht="7.5" customHeight="1"/>
    <row r="30" spans="2:5" ht="15.75">
      <c r="B30" s="4" t="s">
        <v>84</v>
      </c>
      <c r="E30" s="20">
        <f>E18*E20*E28</f>
        <v>3836.4052590000006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7">
      <selection activeCell="C16" sqref="C1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9" t="s">
        <v>208</v>
      </c>
      <c r="B1" s="49"/>
      <c r="C1" s="49"/>
      <c r="D1" s="49"/>
      <c r="E1" s="49"/>
    </row>
    <row r="2" spans="1:5" ht="15.75">
      <c r="A2" s="50" t="s">
        <v>109</v>
      </c>
      <c r="B2" s="50"/>
      <c r="C2" s="50"/>
      <c r="D2" s="50"/>
      <c r="E2" s="50"/>
    </row>
    <row r="3" ht="3.75" customHeight="1"/>
    <row r="4" spans="1:2" ht="12.75">
      <c r="A4" s="19" t="s">
        <v>8</v>
      </c>
      <c r="B4" t="s">
        <v>198</v>
      </c>
    </row>
    <row r="5" ht="3.75" customHeight="1">
      <c r="A5" s="19"/>
    </row>
    <row r="6" spans="1:2" ht="12.75">
      <c r="A6" s="19" t="s">
        <v>7</v>
      </c>
      <c r="B6" t="s">
        <v>202</v>
      </c>
    </row>
    <row r="7" ht="3.75" customHeight="1">
      <c r="A7" s="19"/>
    </row>
    <row r="8" spans="1:2" ht="12.75">
      <c r="A8" s="19" t="s">
        <v>9</v>
      </c>
      <c r="B8" t="s">
        <v>199</v>
      </c>
    </row>
    <row r="9" ht="3.75" customHeight="1">
      <c r="A9" s="19"/>
    </row>
    <row r="10" spans="1:2" ht="12.75">
      <c r="A10" s="19" t="s">
        <v>10</v>
      </c>
      <c r="B10" t="s">
        <v>200</v>
      </c>
    </row>
    <row r="11" ht="7.5" customHeight="1"/>
    <row r="12" spans="1:5" ht="15.75">
      <c r="A12" s="4"/>
      <c r="B12" s="7" t="s">
        <v>55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85</v>
      </c>
    </row>
    <row r="15" spans="2:5" ht="25.5">
      <c r="B15" s="6" t="s">
        <v>87</v>
      </c>
      <c r="C15" s="10" t="s">
        <v>49</v>
      </c>
      <c r="E15" s="10">
        <f>IF(C15="Yes",200,IF(C15="No",0))</f>
        <v>200</v>
      </c>
    </row>
    <row r="16" spans="2:5" ht="38.25">
      <c r="B16" s="6" t="s">
        <v>88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12.75">
      <c r="B19" s="10" t="s">
        <v>90</v>
      </c>
      <c r="C19" s="6" t="s">
        <v>94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5</v>
      </c>
    </row>
    <row r="20" spans="2:5" ht="38.25">
      <c r="B20" s="10" t="s">
        <v>134</v>
      </c>
      <c r="C20" s="6" t="s">
        <v>137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0.7</v>
      </c>
    </row>
    <row r="21" spans="2:5" ht="12.75">
      <c r="B21" t="s">
        <v>96</v>
      </c>
      <c r="C21">
        <v>176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270</v>
      </c>
    </row>
    <row r="24" ht="7.5" customHeight="1"/>
    <row r="25" spans="1:5" ht="12.75">
      <c r="A25" s="3" t="s">
        <v>1</v>
      </c>
      <c r="B25" s="3" t="s">
        <v>139</v>
      </c>
      <c r="E25" s="42">
        <f>'1. Waste hazard'!K10</f>
        <v>8.525345020000001</v>
      </c>
    </row>
    <row r="26" ht="7.5" customHeight="1"/>
    <row r="27" spans="1:5" ht="12.75">
      <c r="A27" s="3" t="s">
        <v>2</v>
      </c>
      <c r="B27" t="s">
        <v>98</v>
      </c>
      <c r="C27">
        <v>281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102</v>
      </c>
      <c r="C29">
        <v>176</v>
      </c>
      <c r="E29" s="10">
        <f>IF(C29&lt;=500,10,IF(C29&lt;=1000,5,IF(C29&gt;=1000,0)))</f>
        <v>10</v>
      </c>
    </row>
    <row r="30" ht="3.75" customHeight="1"/>
    <row r="31" spans="2:5" ht="12.75">
      <c r="B31" t="s">
        <v>103</v>
      </c>
      <c r="C31" t="s">
        <v>101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99</v>
      </c>
      <c r="C33" s="10" t="s">
        <v>108</v>
      </c>
      <c r="E33" s="10">
        <f>IF(C33="Highly attractive",100,IF(C33="Moderately attractive",50,IF(C33="Low attractiveness",25,IF(C33="Not attractive",0))))</f>
        <v>0</v>
      </c>
    </row>
    <row r="34" ht="3.75" customHeight="1"/>
    <row r="35" spans="2:5" ht="12.75">
      <c r="B35" s="3" t="s">
        <v>37</v>
      </c>
      <c r="E35" s="3">
        <f>E27+E29+E31+E33</f>
        <v>110</v>
      </c>
    </row>
    <row r="36" ht="7.5" customHeight="1"/>
    <row r="37" spans="2:5" ht="15.75">
      <c r="B37" s="4" t="s">
        <v>100</v>
      </c>
      <c r="E37" s="20">
        <f>E23*E25*E35</f>
        <v>253202.74709400005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A13" sqref="A13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9" t="s">
        <v>209</v>
      </c>
      <c r="B1" s="49"/>
      <c r="C1" s="49"/>
      <c r="D1" s="17"/>
      <c r="E1" s="17"/>
    </row>
    <row r="2" spans="1:5" ht="15.75">
      <c r="A2" s="50" t="s">
        <v>109</v>
      </c>
      <c r="B2" s="50"/>
      <c r="C2" s="50"/>
      <c r="D2" s="18"/>
      <c r="E2" s="18"/>
    </row>
    <row r="3" ht="3.75" customHeight="1"/>
    <row r="4" spans="1:2" ht="12.75">
      <c r="A4" s="19" t="s">
        <v>8</v>
      </c>
      <c r="B4" t="s">
        <v>198</v>
      </c>
    </row>
    <row r="5" ht="3.75" customHeight="1">
      <c r="A5" s="19"/>
    </row>
    <row r="6" spans="1:2" ht="12.75">
      <c r="A6" s="19" t="s">
        <v>110</v>
      </c>
      <c r="B6" t="s">
        <v>202</v>
      </c>
    </row>
    <row r="7" ht="3.75" customHeight="1">
      <c r="A7" s="19"/>
    </row>
    <row r="8" spans="1:2" ht="12.75">
      <c r="A8" s="19" t="s">
        <v>9</v>
      </c>
      <c r="B8" t="s">
        <v>199</v>
      </c>
    </row>
    <row r="9" ht="3.75" customHeight="1">
      <c r="A9" s="19"/>
    </row>
    <row r="10" spans="1:2" ht="12.75">
      <c r="A10" s="19" t="s">
        <v>10</v>
      </c>
      <c r="B10" t="s">
        <v>200</v>
      </c>
    </row>
    <row r="11" ht="7.5" customHeight="1"/>
    <row r="12" spans="1:4" ht="15.75">
      <c r="A12" s="4"/>
      <c r="B12" s="7" t="s">
        <v>111</v>
      </c>
      <c r="C12" s="7" t="s">
        <v>5</v>
      </c>
      <c r="D12" s="5"/>
    </row>
    <row r="13" spans="2:3" ht="12.75">
      <c r="B13" t="s">
        <v>112</v>
      </c>
      <c r="C13" s="16">
        <f>'2. Groundwater'!E37</f>
        <v>3265722.675899999</v>
      </c>
    </row>
    <row r="14" ht="7.5" customHeight="1"/>
    <row r="15" spans="2:3" ht="12.75">
      <c r="B15" t="s">
        <v>113</v>
      </c>
      <c r="C15" s="16">
        <f>'3. Surface Water'!E38</f>
        <v>2093149.6735999999</v>
      </c>
    </row>
    <row r="16" ht="7.5" customHeight="1"/>
    <row r="17" spans="2:3" ht="12.75">
      <c r="B17" t="s">
        <v>114</v>
      </c>
      <c r="C17" s="16">
        <f>'4. Air Pathway'!E30</f>
        <v>3836.4052590000006</v>
      </c>
    </row>
    <row r="18" ht="7.5" customHeight="1"/>
    <row r="19" spans="2:3" ht="12.75">
      <c r="B19" t="s">
        <v>144</v>
      </c>
      <c r="C19" s="16">
        <f>'5. Direct Contact (waste pile)'!E37</f>
        <v>253202.74709400005</v>
      </c>
    </row>
    <row r="21" spans="2:3" ht="15.75">
      <c r="B21" s="4" t="s">
        <v>210</v>
      </c>
      <c r="C21" s="20">
        <f>(C13+C15+C17+C19)/100000</f>
        <v>56.15911501852999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117</v>
      </c>
      <c r="B1" s="21" t="s">
        <v>51</v>
      </c>
      <c r="C1" s="21" t="s">
        <v>54</v>
      </c>
      <c r="D1" s="21" t="s">
        <v>56</v>
      </c>
      <c r="E1" s="21" t="s">
        <v>57</v>
      </c>
      <c r="F1" s="21" t="s">
        <v>58</v>
      </c>
    </row>
    <row r="2" spans="2:6" ht="12.75">
      <c r="B2" s="22"/>
      <c r="C2" s="6"/>
      <c r="D2" s="6"/>
      <c r="E2" s="6"/>
      <c r="F2" s="6"/>
    </row>
    <row r="3" spans="1:6" ht="12.75">
      <c r="A3" s="3" t="s">
        <v>116</v>
      </c>
      <c r="B3" s="22" t="s">
        <v>48</v>
      </c>
      <c r="C3" s="22" t="s">
        <v>48</v>
      </c>
      <c r="D3" s="22" t="s">
        <v>48</v>
      </c>
      <c r="E3" s="22" t="s">
        <v>86</v>
      </c>
      <c r="F3" s="22" t="s">
        <v>86</v>
      </c>
    </row>
    <row r="4" spans="1:6" ht="38.25">
      <c r="A4" t="s">
        <v>118</v>
      </c>
      <c r="B4" s="23" t="s">
        <v>49</v>
      </c>
      <c r="C4" s="23" t="s">
        <v>49</v>
      </c>
      <c r="D4" s="6" t="s">
        <v>79</v>
      </c>
      <c r="E4" s="6" t="s">
        <v>49</v>
      </c>
      <c r="F4" s="6" t="s">
        <v>49</v>
      </c>
    </row>
    <row r="5" spans="1:6" ht="12.75">
      <c r="A5" t="s">
        <v>119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175</v>
      </c>
      <c r="B7" s="22" t="s">
        <v>28</v>
      </c>
      <c r="C7" s="6"/>
      <c r="D7" s="22" t="s">
        <v>60</v>
      </c>
      <c r="E7" s="22" t="s">
        <v>89</v>
      </c>
      <c r="F7" s="22" t="s">
        <v>2</v>
      </c>
    </row>
    <row r="8" spans="1:6" ht="25.5">
      <c r="A8" t="s">
        <v>49</v>
      </c>
      <c r="B8" s="23" t="s">
        <v>23</v>
      </c>
      <c r="C8" s="24" t="s">
        <v>59</v>
      </c>
      <c r="D8" s="6" t="s">
        <v>173</v>
      </c>
      <c r="E8" s="6" t="s">
        <v>49</v>
      </c>
      <c r="F8" s="6" t="s">
        <v>142</v>
      </c>
    </row>
    <row r="9" spans="1:6" ht="38.25">
      <c r="A9" t="s">
        <v>50</v>
      </c>
      <c r="B9" s="6" t="s">
        <v>24</v>
      </c>
      <c r="C9" s="6" t="s">
        <v>49</v>
      </c>
      <c r="D9" s="6" t="s">
        <v>163</v>
      </c>
      <c r="E9" s="6" t="s">
        <v>50</v>
      </c>
      <c r="F9" s="6" t="s">
        <v>83</v>
      </c>
    </row>
    <row r="10" spans="2:6" ht="38.25">
      <c r="B10" s="6" t="s">
        <v>25</v>
      </c>
      <c r="C10" s="6" t="s">
        <v>50</v>
      </c>
      <c r="D10" s="6" t="s">
        <v>164</v>
      </c>
      <c r="E10" s="6"/>
      <c r="F10" s="6"/>
    </row>
    <row r="11" spans="2:6" ht="38.25">
      <c r="B11" s="6" t="s">
        <v>26</v>
      </c>
      <c r="C11" s="6"/>
      <c r="D11" s="6" t="s">
        <v>165</v>
      </c>
      <c r="E11" s="22" t="s">
        <v>91</v>
      </c>
      <c r="F11" s="6"/>
    </row>
    <row r="12" spans="2:6" ht="51">
      <c r="B12" s="6" t="s">
        <v>27</v>
      </c>
      <c r="C12" s="22" t="s">
        <v>60</v>
      </c>
      <c r="D12" s="6"/>
      <c r="E12" s="6" t="s">
        <v>92</v>
      </c>
      <c r="F12" s="6"/>
    </row>
    <row r="13" spans="2:6" ht="25.5">
      <c r="B13" s="6"/>
      <c r="C13" s="6" t="s">
        <v>23</v>
      </c>
      <c r="D13" s="22" t="s">
        <v>82</v>
      </c>
      <c r="E13" s="6" t="s">
        <v>93</v>
      </c>
      <c r="F13" s="6"/>
    </row>
    <row r="14" spans="2:6" ht="38.25">
      <c r="B14" s="22" t="s">
        <v>30</v>
      </c>
      <c r="C14" s="6" t="s">
        <v>166</v>
      </c>
      <c r="D14" s="6" t="s">
        <v>49</v>
      </c>
      <c r="E14" s="6" t="s">
        <v>94</v>
      </c>
      <c r="F14" s="6"/>
    </row>
    <row r="15" spans="2:6" ht="51">
      <c r="B15" s="6" t="s">
        <v>31</v>
      </c>
      <c r="C15" s="6" t="s">
        <v>167</v>
      </c>
      <c r="D15" s="6" t="s">
        <v>50</v>
      </c>
      <c r="E15" s="6" t="s">
        <v>95</v>
      </c>
      <c r="F15" s="6"/>
    </row>
    <row r="16" spans="2:6" ht="38.25">
      <c r="B16" s="6" t="s">
        <v>32</v>
      </c>
      <c r="C16" s="6" t="s">
        <v>168</v>
      </c>
      <c r="E16" s="6"/>
      <c r="F16" s="6"/>
    </row>
    <row r="17" spans="2:6" ht="12.75">
      <c r="B17" s="6" t="s">
        <v>33</v>
      </c>
      <c r="C17" s="6"/>
      <c r="D17" s="6"/>
      <c r="E17" s="3" t="s">
        <v>135</v>
      </c>
      <c r="F17" s="6"/>
    </row>
    <row r="18" spans="2:6" ht="25.5">
      <c r="B18" s="6"/>
      <c r="C18" s="22" t="s">
        <v>172</v>
      </c>
      <c r="D18" s="6"/>
      <c r="E18" s="6" t="s">
        <v>136</v>
      </c>
      <c r="F18" s="6"/>
    </row>
    <row r="19" spans="2:6" ht="63.75">
      <c r="B19" s="21" t="s">
        <v>22</v>
      </c>
      <c r="C19" s="6" t="s">
        <v>31</v>
      </c>
      <c r="E19" s="6" t="s">
        <v>137</v>
      </c>
      <c r="F19" s="6"/>
    </row>
    <row r="20" spans="2:6" ht="51">
      <c r="B20" s="6" t="s">
        <v>11</v>
      </c>
      <c r="C20" s="6" t="s">
        <v>32</v>
      </c>
      <c r="E20" s="6" t="s">
        <v>138</v>
      </c>
      <c r="F20" s="6"/>
    </row>
    <row r="21" spans="2:6" ht="51">
      <c r="B21" s="6" t="s">
        <v>13</v>
      </c>
      <c r="C21" s="6" t="s">
        <v>33</v>
      </c>
      <c r="E21" s="6" t="s">
        <v>195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71</v>
      </c>
      <c r="D23" s="6"/>
      <c r="E23" s="22" t="s">
        <v>176</v>
      </c>
      <c r="F23" s="6"/>
    </row>
    <row r="24" spans="2:6" ht="12.75">
      <c r="B24" s="6" t="s">
        <v>15</v>
      </c>
      <c r="C24" s="6" t="s">
        <v>67</v>
      </c>
      <c r="D24" s="6"/>
      <c r="E24" s="6" t="s">
        <v>140</v>
      </c>
      <c r="F24" s="6"/>
    </row>
    <row r="25" spans="2:5" ht="25.5">
      <c r="B25" s="6" t="s">
        <v>16</v>
      </c>
      <c r="C25" s="6" t="s">
        <v>68</v>
      </c>
      <c r="D25" s="6"/>
      <c r="E25" s="6" t="s">
        <v>174</v>
      </c>
    </row>
    <row r="26" spans="2:6" ht="25.5">
      <c r="B26" s="6" t="s">
        <v>17</v>
      </c>
      <c r="C26" s="6"/>
      <c r="D26" s="6"/>
      <c r="E26" s="6" t="s">
        <v>141</v>
      </c>
      <c r="F26" s="6"/>
    </row>
    <row r="27" spans="2:6" ht="25.5">
      <c r="B27" s="6" t="s">
        <v>18</v>
      </c>
      <c r="C27" s="22" t="s">
        <v>70</v>
      </c>
      <c r="D27" s="6"/>
      <c r="E27" s="6" t="s">
        <v>101</v>
      </c>
      <c r="F27" s="6"/>
    </row>
    <row r="28" spans="2:6" ht="25.5">
      <c r="B28" s="6" t="s">
        <v>19</v>
      </c>
      <c r="C28" s="6" t="s">
        <v>75</v>
      </c>
      <c r="D28" s="6"/>
      <c r="F28" s="6"/>
    </row>
    <row r="29" spans="2:6" ht="25.5">
      <c r="B29" s="6" t="s">
        <v>20</v>
      </c>
      <c r="C29" s="6" t="s">
        <v>69</v>
      </c>
      <c r="D29" s="6"/>
      <c r="E29" s="22" t="s">
        <v>104</v>
      </c>
      <c r="F29" s="6"/>
    </row>
    <row r="30" spans="2:6" ht="12.75">
      <c r="B30" s="6" t="s">
        <v>21</v>
      </c>
      <c r="C30" s="6"/>
      <c r="D30" s="6"/>
      <c r="E30" s="6" t="s">
        <v>105</v>
      </c>
      <c r="F30" s="6"/>
    </row>
    <row r="31" spans="2:6" ht="25.5">
      <c r="B31" s="6"/>
      <c r="C31" s="22" t="s">
        <v>72</v>
      </c>
      <c r="D31" s="6"/>
      <c r="E31" s="6" t="s">
        <v>106</v>
      </c>
      <c r="F31" s="6"/>
    </row>
    <row r="32" spans="2:6" ht="12.75">
      <c r="B32" s="22" t="s">
        <v>39</v>
      </c>
      <c r="C32" s="6" t="s">
        <v>74</v>
      </c>
      <c r="D32" s="6"/>
      <c r="E32" s="6" t="s">
        <v>107</v>
      </c>
      <c r="F32" s="6"/>
    </row>
    <row r="33" spans="2:6" ht="25.5">
      <c r="B33" s="6" t="s">
        <v>40</v>
      </c>
      <c r="C33" s="6" t="s">
        <v>76</v>
      </c>
      <c r="D33" s="6"/>
      <c r="E33" s="6" t="s">
        <v>108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73</v>
      </c>
      <c r="D35" s="6"/>
      <c r="E35" s="22" t="s">
        <v>178</v>
      </c>
      <c r="F35" s="6"/>
    </row>
    <row r="36" spans="2:6" ht="12.75">
      <c r="B36" s="6" t="s">
        <v>43</v>
      </c>
      <c r="C36" s="6" t="s">
        <v>49</v>
      </c>
      <c r="D36" s="6"/>
      <c r="E36" s="6" t="s">
        <v>140</v>
      </c>
      <c r="F36" s="6"/>
    </row>
    <row r="37" spans="2:6" ht="12.75">
      <c r="B37" s="6" t="s">
        <v>44</v>
      </c>
      <c r="C37" s="6" t="s">
        <v>83</v>
      </c>
      <c r="D37" s="6"/>
      <c r="E37" s="6" t="s">
        <v>174</v>
      </c>
      <c r="F37" s="6"/>
    </row>
    <row r="38" spans="2:6" ht="12.75">
      <c r="B38" s="6" t="s">
        <v>45</v>
      </c>
      <c r="C38" s="6"/>
      <c r="D38" s="6"/>
      <c r="E38" s="6" t="s">
        <v>141</v>
      </c>
      <c r="F38" s="6"/>
    </row>
    <row r="39" spans="2:6" ht="12.75">
      <c r="B39" s="6" t="s">
        <v>46</v>
      </c>
      <c r="C39" s="6"/>
      <c r="D39" s="6"/>
      <c r="E39" s="6" t="s">
        <v>101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2009-01-27T17:07:56Z</dcterms:modified>
  <cp:category/>
  <cp:version/>
  <cp:contentType/>
  <cp:contentStatus/>
</cp:coreProperties>
</file>