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2475" windowWidth="15210" windowHeight="5970" tabRatio="989" activeTab="0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comments1.xml><?xml version="1.0" encoding="utf-8"?>
<comments xmlns="http://schemas.openxmlformats.org/spreadsheetml/2006/main">
  <authors>
    <author>vincent.gallagher</author>
  </authors>
  <commentList>
    <comment ref="G17" authorId="0">
      <text>
        <r>
          <rPr>
            <b/>
            <sz val="8"/>
            <rFont val="Tahoma"/>
            <family val="0"/>
          </rPr>
          <t>vincent.gallagher:</t>
        </r>
        <r>
          <rPr>
            <sz val="8"/>
            <rFont val="Tahoma"/>
            <family val="0"/>
          </rPr>
          <t xml:space="preserve">
Corrected typo - extra 7 - scores changes as consequence. 13Oct08</t>
        </r>
      </text>
    </comment>
  </commentList>
</comments>
</file>

<file path=xl/sharedStrings.xml><?xml version="1.0" encoding="utf-8"?>
<sst xmlns="http://schemas.openxmlformats.org/spreadsheetml/2006/main" count="352" uniqueCount="210">
  <si>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</si>
  <si>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</si>
  <si>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</si>
  <si>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</si>
  <si>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</si>
  <si>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</si>
  <si>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</si>
  <si>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</si>
  <si>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</si>
  <si>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</si>
  <si>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</si>
  <si>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</si>
  <si>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</si>
  <si>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</si>
  <si>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</si>
  <si>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</si>
  <si>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</si>
  <si>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</si>
  <si>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</si>
  <si>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</si>
  <si>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</si>
  <si>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</si>
  <si>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</si>
  <si>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</si>
  <si>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</si>
  <si>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</si>
  <si>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</si>
  <si>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</si>
  <si>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</si>
  <si>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</si>
  <si>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</si>
  <si>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</si>
  <si>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</si>
  <si>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</si>
  <si>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</si>
  <si>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</si>
  <si>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</si>
  <si>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</si>
  <si>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</si>
  <si>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</si>
  <si>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</si>
  <si>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</si>
  <si>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</si>
  <si>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</si>
  <si>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</si>
  <si>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</si>
  <si>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</si>
  <si>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</si>
  <si>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</si>
  <si>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</si>
  <si>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</si>
  <si>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</si>
  <si>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</si>
  <si>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</si>
  <si>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</si>
  <si>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</si>
  <si>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</si>
  <si>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</si>
  <si>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</si>
  <si>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</si>
  <si>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</si>
  <si>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</si>
  <si>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</si>
  <si>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</si>
  <si>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</si>
  <si>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</si>
  <si>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</si>
  <si>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</si>
  <si>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</si>
  <si>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</si>
  <si>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</si>
  <si>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</si>
  <si>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</si>
  <si>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</si>
  <si>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</si>
  <si>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</si>
  <si>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</si>
  <si>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</si>
  <si>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</si>
  <si>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</si>
  <si>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</si>
  <si>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</si>
  <si>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</si>
  <si>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</si>
  <si>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</si>
  <si>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</si>
  <si>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</si>
  <si>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</si>
  <si>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</si>
  <si>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</si>
  <si>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</si>
  <si>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</si>
  <si>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</si>
  <si>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</si>
  <si>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</si>
  <si>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</si>
  <si>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</si>
  <si>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</si>
  <si>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</si>
  <si>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</si>
  <si>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</si>
  <si>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</si>
  <si>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</si>
  <si>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</si>
  <si>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</si>
  <si>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</si>
  <si>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</si>
  <si>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</si>
  <si>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</si>
  <si>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</si>
  <si>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</si>
  <si>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</si>
  <si>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</si>
  <si>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</si>
  <si>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</si>
  <si>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</si>
  <si>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</si>
  <si>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</si>
  <si>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</si>
  <si>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</si>
  <si>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</si>
  <si>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</si>
  <si>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</si>
  <si>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</si>
  <si>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</si>
  <si>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</si>
  <si>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</si>
  <si>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</si>
  <si>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</si>
  <si>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</si>
  <si>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</si>
  <si>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</si>
  <si>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</si>
  <si>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</si>
  <si>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</si>
  <si>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</si>
  <si>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</si>
  <si>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</si>
  <si>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</si>
  <si>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</si>
  <si>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</si>
  <si>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</si>
  <si>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</si>
  <si>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</si>
  <si>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</si>
  <si>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</si>
  <si>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</si>
  <si>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</si>
  <si>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</si>
  <si>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</si>
  <si>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</si>
  <si>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</si>
  <si>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</si>
  <si>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</si>
  <si>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</si>
  <si>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</si>
  <si>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</si>
  <si>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</si>
  <si>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</si>
  <si>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</si>
  <si>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</si>
  <si>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</si>
  <si>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</si>
  <si>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</si>
  <si>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</si>
  <si>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</si>
  <si>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</si>
  <si>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</si>
  <si>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</si>
  <si>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</si>
  <si>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</si>
  <si>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</si>
  <si>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</si>
  <si>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</si>
  <si>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</si>
  <si>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</si>
  <si>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</si>
  <si>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</si>
  <si>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</si>
  <si>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</si>
  <si>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</si>
  <si>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</si>
  <si>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</si>
  <si>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</si>
  <si>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</si>
  <si>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</si>
  <si>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</si>
  <si>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</si>
  <si>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</si>
  <si>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</si>
  <si>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</si>
  <si>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</si>
  <si>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</si>
  <si>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</si>
  <si>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</si>
  <si>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</si>
  <si>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</si>
  <si>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Tynagh</t>
  </si>
  <si>
    <t>3rd Sept 2008</t>
  </si>
  <si>
    <t>Fionnuala Ni Mhairtin</t>
  </si>
  <si>
    <t>Fionnuala Ni Mairtin</t>
  </si>
  <si>
    <t>TYN_TA01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</si>
  <si>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</si>
  <si>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</si>
  <si>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</si>
  <si>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</si>
  <si>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</si>
  <si>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</si>
  <si>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HMS - SS Overall Score for Individual waste pile or discharge</t>
  </si>
  <si>
    <t>TOTAL HMS-SS SCORE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</si>
</sst>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1.7109375" style="0" customWidth="1"/>
    <col min="4" max="4" width="13.4218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9" t="s">
        <v>203</v>
      </c>
      <c r="B1" s="49"/>
      <c r="C1" s="49"/>
      <c r="D1" s="49"/>
      <c r="E1" s="49"/>
      <c r="F1" s="49"/>
      <c r="G1" s="49"/>
      <c r="H1" s="49"/>
      <c r="I1" s="49"/>
    </row>
    <row r="2" spans="1:9" ht="15.75">
      <c r="A2" s="50" t="s">
        <v>108</v>
      </c>
      <c r="B2" s="50"/>
      <c r="C2" s="50"/>
      <c r="D2" s="50"/>
      <c r="E2" s="50"/>
      <c r="F2" s="50"/>
      <c r="G2" s="50"/>
      <c r="H2" s="50"/>
      <c r="I2" s="50"/>
    </row>
    <row r="3" ht="3.75" customHeight="1"/>
    <row r="4" spans="1:11" ht="12.75">
      <c r="A4" s="19" t="s">
        <v>8</v>
      </c>
      <c r="B4" t="s">
        <v>197</v>
      </c>
      <c r="D4" s="3" t="s">
        <v>129</v>
      </c>
      <c r="I4" s="43"/>
      <c r="K4">
        <f>K17*(F42+I42)/10000+D44</f>
        <v>2142.495742983058</v>
      </c>
    </row>
    <row r="5" spans="1:9" ht="3.75" customHeight="1">
      <c r="A5" s="19"/>
      <c r="I5" s="44"/>
    </row>
    <row r="6" spans="1:11" ht="12.75">
      <c r="A6" s="19" t="s">
        <v>7</v>
      </c>
      <c r="B6" t="s">
        <v>201</v>
      </c>
      <c r="D6" s="3" t="s">
        <v>130</v>
      </c>
      <c r="I6" s="43"/>
      <c r="K6">
        <f>(K17*(F42+G42+I42)+IF(B14="YES",K17*142,0))/10000+D44</f>
        <v>2341.688866612933</v>
      </c>
    </row>
    <row r="7" spans="1:9" ht="3.75" customHeight="1">
      <c r="A7" s="19"/>
      <c r="I7" s="44"/>
    </row>
    <row r="8" spans="1:11" ht="12.75">
      <c r="A8" s="19" t="s">
        <v>9</v>
      </c>
      <c r="B8" t="s">
        <v>198</v>
      </c>
      <c r="D8" s="3" t="s">
        <v>131</v>
      </c>
      <c r="I8" s="43"/>
      <c r="K8">
        <f>IF(G20="","ERROR",(I20*D42)/10000)</f>
        <v>213.48840730999996</v>
      </c>
    </row>
    <row r="9" spans="1:9" ht="3.75" customHeight="1">
      <c r="A9" s="19"/>
      <c r="I9" s="44"/>
    </row>
    <row r="10" spans="1:11" ht="12.75">
      <c r="A10" s="19" t="s">
        <v>10</v>
      </c>
      <c r="B10" t="s">
        <v>199</v>
      </c>
      <c r="D10" s="3" t="s">
        <v>132</v>
      </c>
      <c r="I10" s="43"/>
      <c r="K10">
        <f>IF(G20="","ERROR",(I20*D42)/10000)</f>
        <v>213.48840730999996</v>
      </c>
    </row>
    <row r="11" ht="3.75" customHeight="1">
      <c r="I11" s="44"/>
    </row>
    <row r="12" spans="1:11" ht="12.75">
      <c r="A12" s="19" t="s">
        <v>115</v>
      </c>
      <c r="B12" s="46" t="s">
        <v>117</v>
      </c>
      <c r="D12" s="3" t="s">
        <v>168</v>
      </c>
      <c r="I12" s="43"/>
      <c r="K12">
        <f>(K4+K6+K8+K10)</f>
        <v>4911.161424215991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50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>
        <v>888713</v>
      </c>
      <c r="K17">
        <f>IF(G17&gt;=1000000,100,IF(G17&lt;1000,1,(1+G17/10000)))</f>
        <v>89.8713</v>
      </c>
    </row>
    <row r="18" ht="3.75" customHeight="1"/>
    <row r="19" ht="3.75" customHeight="1"/>
    <row r="20" spans="2:9" ht="14.25">
      <c r="B20" t="s">
        <v>120</v>
      </c>
      <c r="G20">
        <v>261915</v>
      </c>
      <c r="I20">
        <f>IF(G20&lt;100,0.001,IF(G20&lt;1000,0.01,IF(G20&lt;10000,0.1,IF(G20&lt;100000,1,IF(G20&lt;1000000,10,IF(G20&lt;10000000,100,1000))))))</f>
        <v>10</v>
      </c>
    </row>
    <row r="21" ht="18.75" customHeight="1"/>
    <row r="22" spans="4:17" ht="12.75" customHeight="1">
      <c r="D22" s="48" t="s">
        <v>122</v>
      </c>
      <c r="E22" s="48"/>
      <c r="F22" s="48" t="s">
        <v>123</v>
      </c>
      <c r="G22" s="48"/>
      <c r="H22" s="48"/>
      <c r="I22" s="48"/>
      <c r="J22" s="35"/>
      <c r="K22" s="48" t="s">
        <v>122</v>
      </c>
      <c r="L22" s="48"/>
      <c r="M22" s="48" t="s">
        <v>123</v>
      </c>
      <c r="N22" s="48"/>
      <c r="O22" s="48"/>
      <c r="P22" s="48"/>
      <c r="Q22" s="35"/>
    </row>
    <row r="23" spans="1:16" ht="38.25">
      <c r="A23" s="3" t="s">
        <v>121</v>
      </c>
      <c r="C23" s="34"/>
      <c r="D23" s="36" t="s">
        <v>202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202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646.06</v>
      </c>
      <c r="D24" s="38">
        <f>C24*K24</f>
        <v>6460.599999999999</v>
      </c>
      <c r="E24" s="38">
        <f aca="true" t="shared" si="0" ref="E24:E40">C24*L24</f>
        <v>64.606</v>
      </c>
      <c r="F24" s="38">
        <f aca="true" t="shared" si="1" ref="F24:F40">C24*M24</f>
        <v>6460.599999999999</v>
      </c>
      <c r="G24" s="38">
        <f aca="true" t="shared" si="2" ref="G24:G40">C24*N24</f>
        <v>64.606</v>
      </c>
      <c r="H24" s="38">
        <f aca="true" t="shared" si="3" ref="H24:H40">C24*O24</f>
        <v>64.606</v>
      </c>
      <c r="I24" s="38">
        <f aca="true" t="shared" si="4" ref="I24:I40">C24*P24</f>
        <v>64.606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1481.27</v>
      </c>
      <c r="D25" s="38">
        <f>C25*K25</f>
        <v>14812.7</v>
      </c>
      <c r="E25" s="38">
        <f t="shared" si="0"/>
        <v>148.127</v>
      </c>
      <c r="F25" s="38">
        <f t="shared" si="1"/>
        <v>14812.7</v>
      </c>
      <c r="G25" s="38">
        <f t="shared" si="2"/>
        <v>14.8127</v>
      </c>
      <c r="H25" s="38">
        <f t="shared" si="3"/>
        <v>148.127</v>
      </c>
      <c r="I25" s="38">
        <f t="shared" si="4"/>
        <v>148.127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34945.69</v>
      </c>
      <c r="D26" s="38">
        <f>C26*K26</f>
        <v>349.4569</v>
      </c>
      <c r="E26" s="38">
        <f t="shared" si="0"/>
        <v>349.4569</v>
      </c>
      <c r="F26" s="38">
        <f t="shared" si="1"/>
        <v>349.4569</v>
      </c>
      <c r="G26" s="38">
        <f t="shared" si="2"/>
        <v>34.945690000000006</v>
      </c>
      <c r="H26" s="38">
        <f t="shared" si="3"/>
        <v>34.945690000000006</v>
      </c>
      <c r="I26" s="38">
        <f t="shared" si="4"/>
        <v>349.4569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70.71</v>
      </c>
      <c r="D27" s="38">
        <f>C27*K27</f>
        <v>707.0999999999999</v>
      </c>
      <c r="E27" s="38">
        <f t="shared" si="0"/>
        <v>707.0999999999999</v>
      </c>
      <c r="F27" s="38">
        <f t="shared" si="1"/>
        <v>707.0999999999999</v>
      </c>
      <c r="G27" s="38">
        <f t="shared" si="2"/>
        <v>707.0999999999999</v>
      </c>
      <c r="H27" s="38">
        <f t="shared" si="3"/>
        <v>70.71</v>
      </c>
      <c r="I27" s="38">
        <f t="shared" si="4"/>
        <v>707.0999999999999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326.42</v>
      </c>
      <c r="D28" s="38"/>
      <c r="E28" s="38">
        <f t="shared" si="0"/>
        <v>32.642</v>
      </c>
      <c r="F28" s="38">
        <f t="shared" si="1"/>
        <v>3264.2000000000003</v>
      </c>
      <c r="G28" s="38">
        <f t="shared" si="2"/>
        <v>32.642</v>
      </c>
      <c r="H28" s="38">
        <f t="shared" si="3"/>
        <v>32.642</v>
      </c>
      <c r="I28" s="38">
        <f t="shared" si="4"/>
        <v>32.642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1268.73</v>
      </c>
      <c r="D29" s="38">
        <f aca="true" t="shared" si="5" ref="D29:D40">C29*K29</f>
        <v>0</v>
      </c>
      <c r="E29" s="38">
        <f t="shared" si="0"/>
        <v>126.873</v>
      </c>
      <c r="F29" s="38">
        <f t="shared" si="1"/>
        <v>0</v>
      </c>
      <c r="G29" s="38">
        <f t="shared" si="2"/>
        <v>1268.73</v>
      </c>
      <c r="H29" s="38">
        <f t="shared" si="3"/>
        <v>1268.73</v>
      </c>
      <c r="I29" s="38">
        <f t="shared" si="4"/>
        <v>126.873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49491.71</v>
      </c>
      <c r="D30" s="38">
        <f t="shared" si="5"/>
        <v>49.49171</v>
      </c>
      <c r="E30" s="38">
        <f t="shared" si="0"/>
        <v>494.9171</v>
      </c>
      <c r="F30" s="38">
        <f t="shared" si="1"/>
        <v>49.49171</v>
      </c>
      <c r="G30" s="38">
        <f t="shared" si="2"/>
        <v>494.9171</v>
      </c>
      <c r="H30" s="38">
        <f t="shared" si="3"/>
        <v>494.9171</v>
      </c>
      <c r="I30" s="38">
        <f t="shared" si="4"/>
        <v>494.9171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19099.05</v>
      </c>
      <c r="D31" s="38">
        <f t="shared" si="5"/>
        <v>190990.5</v>
      </c>
      <c r="E31" s="38">
        <f t="shared" si="0"/>
        <v>19099.05</v>
      </c>
      <c r="F31" s="38">
        <f t="shared" si="1"/>
        <v>190990.5</v>
      </c>
      <c r="G31" s="38">
        <f t="shared" si="2"/>
        <v>19099.05</v>
      </c>
      <c r="H31" s="38">
        <f t="shared" si="3"/>
        <v>19099.05</v>
      </c>
      <c r="I31" s="38">
        <f t="shared" si="4"/>
        <v>19099.05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513.57</v>
      </c>
      <c r="D32" s="38">
        <f t="shared" si="5"/>
        <v>51.357000000000006</v>
      </c>
      <c r="E32" s="38">
        <f t="shared" si="0"/>
        <v>0.5135700000000001</v>
      </c>
      <c r="F32" s="38">
        <f t="shared" si="1"/>
        <v>51.357000000000006</v>
      </c>
      <c r="G32" s="38">
        <f t="shared" si="2"/>
        <v>0</v>
      </c>
      <c r="H32" s="38">
        <f t="shared" si="3"/>
        <v>0</v>
      </c>
      <c r="I32" s="38">
        <f t="shared" si="4"/>
        <v>0.5135700000000001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0</v>
      </c>
      <c r="D33" s="38">
        <f t="shared" si="5"/>
        <v>0</v>
      </c>
      <c r="E33" s="38">
        <f t="shared" si="0"/>
        <v>0</v>
      </c>
      <c r="F33" s="38">
        <f t="shared" si="1"/>
        <v>0</v>
      </c>
      <c r="G33" s="38">
        <f t="shared" si="2"/>
        <v>0</v>
      </c>
      <c r="H33" s="38">
        <f t="shared" si="3"/>
        <v>0</v>
      </c>
      <c r="I33" s="38">
        <f t="shared" si="4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5"/>
        <v>0</v>
      </c>
      <c r="E34" s="38">
        <f t="shared" si="0"/>
        <v>0</v>
      </c>
      <c r="F34" s="38">
        <f t="shared" si="1"/>
        <v>0</v>
      </c>
      <c r="G34" s="38">
        <f t="shared" si="2"/>
        <v>0</v>
      </c>
      <c r="H34" s="38">
        <f t="shared" si="3"/>
        <v>0</v>
      </c>
      <c r="I34" s="38">
        <f t="shared" si="4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0</v>
      </c>
      <c r="D35" s="38">
        <f t="shared" si="5"/>
        <v>0</v>
      </c>
      <c r="E35" s="38">
        <f t="shared" si="0"/>
        <v>0</v>
      </c>
      <c r="F35" s="38">
        <f t="shared" si="1"/>
        <v>0</v>
      </c>
      <c r="G35" s="38">
        <f t="shared" si="2"/>
        <v>0</v>
      </c>
      <c r="H35" s="38">
        <f t="shared" si="3"/>
        <v>0</v>
      </c>
      <c r="I35" s="38">
        <f t="shared" si="4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38.41</v>
      </c>
      <c r="D36" s="38">
        <f t="shared" si="5"/>
        <v>3.8409999999999997</v>
      </c>
      <c r="E36" s="38">
        <f t="shared" si="0"/>
        <v>0.3841</v>
      </c>
      <c r="F36" s="38">
        <f t="shared" si="1"/>
        <v>3.8409999999999997</v>
      </c>
      <c r="G36" s="38">
        <f t="shared" si="2"/>
        <v>384.09999999999997</v>
      </c>
      <c r="H36" s="38">
        <f t="shared" si="3"/>
        <v>384.09999999999997</v>
      </c>
      <c r="I36" s="38">
        <f t="shared" si="4"/>
        <v>0.3841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5"/>
        <v>0</v>
      </c>
      <c r="E37" s="38">
        <f t="shared" si="0"/>
        <v>0</v>
      </c>
      <c r="F37" s="38">
        <f t="shared" si="1"/>
        <v>0</v>
      </c>
      <c r="G37" s="38">
        <f t="shared" si="2"/>
        <v>0</v>
      </c>
      <c r="H37" s="38">
        <f t="shared" si="3"/>
        <v>0</v>
      </c>
      <c r="I37" s="38">
        <f t="shared" si="4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5"/>
        <v>0</v>
      </c>
      <c r="E38" s="38">
        <f t="shared" si="0"/>
        <v>0</v>
      </c>
      <c r="F38" s="38">
        <f t="shared" si="1"/>
        <v>0</v>
      </c>
      <c r="G38" s="38">
        <f t="shared" si="2"/>
        <v>0</v>
      </c>
      <c r="H38" s="38">
        <f t="shared" si="3"/>
        <v>0</v>
      </c>
      <c r="I38" s="38">
        <f t="shared" si="4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5"/>
        <v>0</v>
      </c>
      <c r="E39" s="38">
        <f t="shared" si="0"/>
        <v>0</v>
      </c>
      <c r="F39" s="38">
        <f t="shared" si="1"/>
        <v>0</v>
      </c>
      <c r="G39" s="38">
        <f t="shared" si="2"/>
        <v>0</v>
      </c>
      <c r="H39" s="38">
        <f t="shared" si="3"/>
        <v>0</v>
      </c>
      <c r="I39" s="38">
        <f t="shared" si="4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6336.07</v>
      </c>
      <c r="D40" s="38">
        <f t="shared" si="5"/>
        <v>63.3607</v>
      </c>
      <c r="E40" s="38">
        <f t="shared" si="0"/>
        <v>63.3607</v>
      </c>
      <c r="F40" s="38">
        <f t="shared" si="1"/>
        <v>63.3607</v>
      </c>
      <c r="G40" s="38">
        <f t="shared" si="2"/>
        <v>63.3607</v>
      </c>
      <c r="H40" s="38">
        <f t="shared" si="3"/>
        <v>633.607</v>
      </c>
      <c r="I40" s="38">
        <f t="shared" si="4"/>
        <v>63.3607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213488.40730999995</v>
      </c>
      <c r="E42" s="39">
        <f t="shared" si="6"/>
        <v>21087.03037</v>
      </c>
      <c r="F42" s="39">
        <f t="shared" si="6"/>
        <v>216752.60730999996</v>
      </c>
      <c r="G42" s="39">
        <f t="shared" si="6"/>
        <v>22164.264189999998</v>
      </c>
      <c r="H42" s="39">
        <f t="shared" si="6"/>
        <v>22231.43479</v>
      </c>
      <c r="I42" s="39">
        <f t="shared" si="6"/>
        <v>21087.03037</v>
      </c>
    </row>
    <row r="44" spans="2:4" ht="12.75">
      <c r="B44" s="32" t="s">
        <v>176</v>
      </c>
      <c r="C44">
        <v>13.4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5">
      <selection activeCell="B36" sqref="B36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9" t="s">
        <v>204</v>
      </c>
      <c r="B1" s="49"/>
      <c r="C1" s="49"/>
      <c r="D1" s="49"/>
      <c r="E1" s="49"/>
    </row>
    <row r="2" spans="1:5" ht="15.75">
      <c r="A2" s="50" t="s">
        <v>108</v>
      </c>
      <c r="B2" s="50"/>
      <c r="C2" s="50"/>
      <c r="D2" s="50"/>
      <c r="E2" s="50"/>
    </row>
    <row r="3" ht="3.75" customHeight="1"/>
    <row r="4" spans="1:2" ht="12.75">
      <c r="A4" s="19" t="s">
        <v>8</v>
      </c>
      <c r="B4" t="s">
        <v>197</v>
      </c>
    </row>
    <row r="5" ht="3.75" customHeight="1">
      <c r="A5" s="19"/>
    </row>
    <row r="6" spans="1:2" ht="12.75">
      <c r="A6" s="19" t="s">
        <v>7</v>
      </c>
      <c r="B6" t="s">
        <v>201</v>
      </c>
    </row>
    <row r="7" ht="3.75" customHeight="1">
      <c r="A7" s="19"/>
    </row>
    <row r="8" spans="1:2" ht="12.75">
      <c r="A8" s="19" t="s">
        <v>9</v>
      </c>
      <c r="B8" t="s">
        <v>198</v>
      </c>
    </row>
    <row r="9" ht="3.75" customHeight="1">
      <c r="A9" s="19"/>
    </row>
    <row r="10" spans="1:2" ht="12.75">
      <c r="A10" s="19" t="s">
        <v>10</v>
      </c>
      <c r="B10" t="s">
        <v>199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26.25" thickBot="1">
      <c r="B19" s="11" t="s">
        <v>29</v>
      </c>
      <c r="C19" s="9" t="s">
        <v>24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15</v>
      </c>
    </row>
    <row r="20" spans="2:5" ht="13.5" thickBot="1">
      <c r="B20" t="s">
        <v>142</v>
      </c>
      <c r="C20" s="45">
        <v>3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700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2142.495742983058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17</v>
      </c>
      <c r="E26" s="10">
        <f>IF(J26&lt;&gt;"ERROR",J26,K26)</f>
        <v>5</v>
      </c>
      <c r="J26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5</v>
      </c>
      <c r="K26" t="str">
        <f>IF(C26="Lg - sand/gravel",5,IF(C26="Pl - Generally unproductive except for local zones",2,IF(C26="Pu - Generally unproductive",1,"ERROR")))</f>
        <v>ERROR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28</v>
      </c>
      <c r="E28">
        <f>C28*3</f>
        <v>84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89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43</v>
      </c>
      <c r="E33">
        <f>IF(C33="Extreme (rock near surface or karst)",1,IF(C33="Extreme",1,IF(C33="High",0.8,IF(C33="High to low",0.5,IF(C33="Moderate",0.4,IF(C33="Low",0.25,IF(C33="no data",0.5)))))))</f>
        <v>0.5</v>
      </c>
    </row>
    <row r="34" ht="3.75" customHeight="1"/>
    <row r="35" spans="2:5" ht="12.75">
      <c r="B35" s="3" t="s">
        <v>37</v>
      </c>
      <c r="E35" s="3">
        <f>INT(E31*E33+0.5)</f>
        <v>45</v>
      </c>
    </row>
    <row r="36" ht="7.5" customHeight="1"/>
    <row r="37" spans="2:5" ht="15.75">
      <c r="B37" s="4" t="s">
        <v>47</v>
      </c>
      <c r="E37" s="20">
        <f>E22*E24*E35</f>
        <v>67488615.90396632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9">
      <selection activeCell="B16" sqref="B16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9" t="s">
        <v>205</v>
      </c>
      <c r="B1" s="49"/>
      <c r="C1" s="49"/>
      <c r="D1" s="49"/>
      <c r="E1" s="49"/>
    </row>
    <row r="2" spans="1:5" ht="15.75">
      <c r="A2" s="50" t="s">
        <v>108</v>
      </c>
      <c r="B2" s="50"/>
      <c r="C2" s="50"/>
      <c r="D2" s="50"/>
      <c r="E2" s="50"/>
    </row>
    <row r="3" ht="3.75" customHeight="1"/>
    <row r="4" spans="1:2" ht="12.75">
      <c r="A4" s="19" t="s">
        <v>8</v>
      </c>
      <c r="B4" t="s">
        <v>197</v>
      </c>
    </row>
    <row r="5" ht="3.75" customHeight="1">
      <c r="A5" s="19"/>
    </row>
    <row r="6" spans="1:2" ht="12.75">
      <c r="A6" s="19" t="s">
        <v>7</v>
      </c>
      <c r="B6" t="s">
        <v>201</v>
      </c>
    </row>
    <row r="7" ht="3.75" customHeight="1">
      <c r="A7" s="19"/>
    </row>
    <row r="8" spans="1:2" ht="12.75">
      <c r="A8" s="19" t="s">
        <v>9</v>
      </c>
      <c r="B8" t="s">
        <v>198</v>
      </c>
    </row>
    <row r="9" ht="3.75" customHeight="1">
      <c r="A9" s="19"/>
    </row>
    <row r="10" spans="1:2" ht="12.75">
      <c r="A10" s="19" t="s">
        <v>10</v>
      </c>
      <c r="B10" t="s">
        <v>200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49</v>
      </c>
      <c r="E14">
        <f>IF(C14="Yes",200,IF(C14="Visible discharge",50,IF(C14="No",0)))</f>
        <v>200</v>
      </c>
    </row>
    <row r="15" ht="3.75" customHeight="1" thickBot="1"/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47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60</v>
      </c>
      <c r="C20" s="25" t="s">
        <v>31</v>
      </c>
      <c r="E20">
        <f>IF(C20="&lt;10m",10,IF(C20="10 - 30m",5,IF(C20="&gt;30m",1)))</f>
        <v>10</v>
      </c>
    </row>
    <row r="21" ht="3.75" customHeight="1"/>
    <row r="22" spans="2:5" ht="12.75">
      <c r="B22" s="3" t="s">
        <v>4</v>
      </c>
      <c r="E22" s="3">
        <f>E14+E16+(E19*E20)</f>
        <v>800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2341.688866612933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170</v>
      </c>
      <c r="C28" s="13" t="s">
        <v>50</v>
      </c>
      <c r="E28" s="27">
        <f>IF(C28="Yes",50,0)</f>
        <v>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68</v>
      </c>
      <c r="E32">
        <f>IF(C32="Observed (fishing or boating or swimming, etc.)",5,IF(C32="Not observed",0))</f>
        <v>0</v>
      </c>
    </row>
    <row r="33" spans="2:5" ht="13.5" thickBot="1">
      <c r="B33" t="s">
        <v>64</v>
      </c>
      <c r="C33" s="1" t="s">
        <v>75</v>
      </c>
      <c r="E33">
        <f>IF(C33="Yes (National Park, SAC, NHA)",20,IF(C33="No designation",0))</f>
        <v>0</v>
      </c>
    </row>
    <row r="34" spans="2:5" ht="13.5" thickBot="1">
      <c r="B34" t="s">
        <v>65</v>
      </c>
      <c r="C34" s="28" t="s">
        <v>49</v>
      </c>
      <c r="E34">
        <f>IF(C34="Yes",20,IF(C34="Unknown",10))</f>
        <v>20</v>
      </c>
    </row>
    <row r="35" ht="3.75" customHeight="1"/>
    <row r="36" spans="2:5" ht="12.75">
      <c r="B36" s="3" t="s">
        <v>37</v>
      </c>
      <c r="E36" s="15">
        <f>E26+E28+E31+E32+E33+E34</f>
        <v>20</v>
      </c>
    </row>
    <row r="37" ht="7.5" customHeight="1"/>
    <row r="38" spans="2:5" ht="15.75">
      <c r="B38" s="4" t="s">
        <v>76</v>
      </c>
      <c r="E38" s="20">
        <f>E22*E24*E36</f>
        <v>37467021.86580693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9">
      <selection activeCell="B14" sqref="B14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9" t="s">
        <v>206</v>
      </c>
      <c r="B1" s="49"/>
      <c r="C1" s="49"/>
      <c r="D1" s="49"/>
      <c r="E1" s="49"/>
    </row>
    <row r="2" spans="1:5" ht="15.75">
      <c r="A2" s="50" t="s">
        <v>108</v>
      </c>
      <c r="B2" s="50"/>
      <c r="C2" s="50"/>
      <c r="D2" s="50"/>
      <c r="E2" s="50"/>
    </row>
    <row r="3" ht="3.75" customHeight="1"/>
    <row r="4" spans="1:2" ht="12.75">
      <c r="A4" s="19" t="s">
        <v>8</v>
      </c>
      <c r="B4" t="s">
        <v>197</v>
      </c>
    </row>
    <row r="5" ht="3.75" customHeight="1">
      <c r="A5" s="19"/>
    </row>
    <row r="6" spans="1:2" ht="12.75">
      <c r="A6" s="19" t="s">
        <v>7</v>
      </c>
      <c r="B6" t="s">
        <v>201</v>
      </c>
    </row>
    <row r="7" ht="3.75" customHeight="1">
      <c r="A7" s="19"/>
    </row>
    <row r="8" spans="1:2" ht="12.75">
      <c r="A8" s="19" t="s">
        <v>9</v>
      </c>
      <c r="B8" t="s">
        <v>198</v>
      </c>
    </row>
    <row r="9" ht="3.75" customHeight="1">
      <c r="A9" s="19"/>
    </row>
    <row r="10" spans="1:2" ht="12.75">
      <c r="A10" s="19" t="s">
        <v>10</v>
      </c>
      <c r="B10" t="s">
        <v>199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25.5">
      <c r="A14" s="12" t="s">
        <v>0</v>
      </c>
      <c r="B14" s="10" t="s">
        <v>52</v>
      </c>
      <c r="C14" s="6" t="s">
        <v>78</v>
      </c>
      <c r="E14" s="10">
        <f>IF(C14="Yes (dust blow observed, evidence of waste blown from a pile, reliable witness accounts)",300,IF(C14="No",0))</f>
        <v>300</v>
      </c>
    </row>
    <row r="15" ht="3.75" customHeight="1"/>
    <row r="16" spans="2:5" ht="12.75">
      <c r="B16" t="s">
        <v>79</v>
      </c>
      <c r="C16" t="s">
        <v>172</v>
      </c>
      <c r="E16">
        <f>IF(C16="High dust potential (&lt;50% cover or screening)",300,IF(C16="Moderate dust potential (50-75% cover)",200,IF(C16="Low dust potential (75-95% cover)",100,IF(C16="No dust potential (&gt;95% cover)",10))))</f>
        <v>300</v>
      </c>
    </row>
    <row r="17" ht="3.75" customHeight="1"/>
    <row r="18" spans="2:5" ht="12.75">
      <c r="B18" s="3" t="s">
        <v>4</v>
      </c>
      <c r="E18" s="3">
        <f>E14+E16</f>
        <v>600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213.48840730999996</v>
      </c>
    </row>
    <row r="21" ht="7.5" customHeight="1"/>
    <row r="22" spans="1:5" ht="12.75">
      <c r="A22" s="3" t="s">
        <v>2</v>
      </c>
      <c r="B22" t="s">
        <v>80</v>
      </c>
      <c r="C22">
        <v>86</v>
      </c>
      <c r="E22">
        <f>IF(C22=0,0,IF(C22&lt;10,1,IF(C22&lt;30,10,IF(C22&lt;100,30,IF(C22&lt;300,100,IF(C22&lt;1000,300,IF(C22&lt;3000,1000,IF(C22&lt;10000,3000,10000))))))))</f>
        <v>30</v>
      </c>
    </row>
    <row r="23" ht="3.75" customHeight="1"/>
    <row r="24" spans="2:5" ht="12.75">
      <c r="B24" s="6" t="s">
        <v>96</v>
      </c>
      <c r="C24" s="10">
        <v>176</v>
      </c>
      <c r="D24" s="10"/>
      <c r="E24" s="10">
        <f>IF(C24&lt;100,20,IF(C24&lt;200,15,IF(C24&lt;300,10,5)))</f>
        <v>15</v>
      </c>
    </row>
    <row r="25" ht="3.75" customHeight="1"/>
    <row r="26" spans="2:5" ht="25.5">
      <c r="B26" s="6" t="s">
        <v>144</v>
      </c>
      <c r="C26" s="10" t="s">
        <v>50</v>
      </c>
      <c r="D26" s="10"/>
      <c r="E26" s="10">
        <f>IF(C26="Yes",20,IF(C26="No",0))</f>
        <v>0</v>
      </c>
    </row>
    <row r="27" ht="3.75" customHeight="1"/>
    <row r="28" spans="2:5" ht="12.75">
      <c r="B28" s="3" t="s">
        <v>37</v>
      </c>
      <c r="E28" s="3">
        <f>E22+E24+E26</f>
        <v>45</v>
      </c>
    </row>
    <row r="29" ht="7.5" customHeight="1"/>
    <row r="30" spans="2:5" ht="15.75">
      <c r="B30" s="4" t="s">
        <v>83</v>
      </c>
      <c r="E30" s="20">
        <f>E18*E20*E28</f>
        <v>5764186.997369999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5">
      <selection activeCell="C21" sqref="C21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9" t="s">
        <v>207</v>
      </c>
      <c r="B1" s="49"/>
      <c r="C1" s="49"/>
      <c r="D1" s="49"/>
      <c r="E1" s="49"/>
    </row>
    <row r="2" spans="1:5" ht="15.75">
      <c r="A2" s="50" t="s">
        <v>108</v>
      </c>
      <c r="B2" s="50"/>
      <c r="C2" s="50"/>
      <c r="D2" s="50"/>
      <c r="E2" s="50"/>
    </row>
    <row r="3" ht="3.75" customHeight="1"/>
    <row r="4" spans="1:2" ht="12.75">
      <c r="A4" s="19" t="s">
        <v>8</v>
      </c>
      <c r="B4" t="s">
        <v>197</v>
      </c>
    </row>
    <row r="5" ht="3.75" customHeight="1">
      <c r="A5" s="19"/>
    </row>
    <row r="6" spans="1:2" ht="12.75">
      <c r="A6" s="19" t="s">
        <v>7</v>
      </c>
      <c r="B6" t="s">
        <v>201</v>
      </c>
    </row>
    <row r="7" ht="3.75" customHeight="1">
      <c r="A7" s="19"/>
    </row>
    <row r="8" spans="1:2" ht="12.75">
      <c r="A8" s="19" t="s">
        <v>9</v>
      </c>
      <c r="B8" t="s">
        <v>198</v>
      </c>
    </row>
    <row r="9" ht="3.75" customHeight="1">
      <c r="A9" s="19"/>
    </row>
    <row r="10" spans="1:2" ht="12.75">
      <c r="A10" s="19" t="s">
        <v>10</v>
      </c>
      <c r="B10" t="s">
        <v>199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49</v>
      </c>
      <c r="E15" s="10">
        <f>IF(C15="Yes",200,IF(C15="No",0))</f>
        <v>200</v>
      </c>
    </row>
    <row r="16" spans="2:5" ht="38.25">
      <c r="B16" s="6" t="s">
        <v>87</v>
      </c>
      <c r="C16" t="s">
        <v>50</v>
      </c>
      <c r="E16" s="10">
        <f>IF(C16="Yes",200,IF(C16="No",0))</f>
        <v>0</v>
      </c>
    </row>
    <row r="17" ht="3.75" customHeight="1"/>
    <row r="18" ht="12.75">
      <c r="B18" t="s">
        <v>3</v>
      </c>
    </row>
    <row r="19" spans="2:5" ht="12.75">
      <c r="B19" s="10" t="s">
        <v>89</v>
      </c>
      <c r="C19" s="6" t="s">
        <v>93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5</v>
      </c>
    </row>
    <row r="20" spans="2:5" ht="38.25">
      <c r="B20" s="10" t="s">
        <v>133</v>
      </c>
      <c r="C20" s="6" t="s">
        <v>136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0.7</v>
      </c>
    </row>
    <row r="21" spans="2:5" ht="12.75">
      <c r="B21" t="s">
        <v>95</v>
      </c>
      <c r="C21">
        <v>176</v>
      </c>
      <c r="E21">
        <f>IF(C21&lt;500,20,IF(C21&lt;1000,10,IF(C21&gt;1000,5)))</f>
        <v>20</v>
      </c>
    </row>
    <row r="22" ht="3.75" customHeight="1"/>
    <row r="23" spans="2:5" ht="12.75">
      <c r="B23" s="3" t="s">
        <v>4</v>
      </c>
      <c r="E23" s="3">
        <f>E15+E16+(E19*E20*E21)</f>
        <v>270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213.48840730999996</v>
      </c>
    </row>
    <row r="26" ht="7.5" customHeight="1"/>
    <row r="27" spans="1:5" ht="12.75">
      <c r="A27" s="3" t="s">
        <v>2</v>
      </c>
      <c r="B27" t="s">
        <v>97</v>
      </c>
      <c r="C27">
        <v>285</v>
      </c>
      <c r="E27">
        <f>IF(C27=0,0,IF(C27&lt;10,1,IF(C27&lt;30,10,IF(C27&lt;100,30,IF(C27&lt;300,100,IF(C27&lt;1000,300,IF(C27&lt;3000,1000,IF(C27&lt;10000,3000,10000))))))))</f>
        <v>100</v>
      </c>
    </row>
    <row r="28" ht="3.75" customHeight="1"/>
    <row r="29" spans="2:5" ht="12.75">
      <c r="B29" t="s">
        <v>101</v>
      </c>
      <c r="C29">
        <v>176</v>
      </c>
      <c r="E29" s="10">
        <f>IF(C29&lt;=500,10,IF(C29&lt;=1000,5,IF(C29&gt;=1000,0)))</f>
        <v>10</v>
      </c>
    </row>
    <row r="30" ht="3.75" customHeight="1"/>
    <row r="31" spans="2:5" ht="12.75">
      <c r="B31" t="s">
        <v>102</v>
      </c>
      <c r="C31" t="s">
        <v>100</v>
      </c>
      <c r="E31">
        <f>IF(C31="Predominantly working outside",200,IF(C31="Farmers",100,IF(C31="Predominantly working inside",50,IF(C31="No workers",0))))</f>
        <v>0</v>
      </c>
    </row>
    <row r="32" ht="3.75" customHeight="1"/>
    <row r="33" spans="2:5" ht="25.5">
      <c r="B33" s="6" t="s">
        <v>98</v>
      </c>
      <c r="C33" s="10" t="s">
        <v>107</v>
      </c>
      <c r="E33" s="10">
        <f>IF(C33="Highly attractive",100,IF(C33="Moderately attractive",50,IF(C33="Low attractiveness",25,IF(C33="Not attractive",0))))</f>
        <v>0</v>
      </c>
    </row>
    <row r="34" ht="3.75" customHeight="1"/>
    <row r="35" spans="2:5" ht="12.75">
      <c r="B35" s="3" t="s">
        <v>37</v>
      </c>
      <c r="E35" s="3">
        <f>E27+E29+E31+E33</f>
        <v>110</v>
      </c>
    </row>
    <row r="36" ht="7.5" customHeight="1"/>
    <row r="37" spans="2:5" ht="15.75">
      <c r="B37" s="4" t="s">
        <v>99</v>
      </c>
      <c r="E37" s="20">
        <f>E23*E25*E35</f>
        <v>6340605.697106999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C32" sqref="C32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9" t="s">
        <v>208</v>
      </c>
      <c r="B1" s="49"/>
      <c r="C1" s="49"/>
      <c r="D1" s="17"/>
      <c r="E1" s="17"/>
    </row>
    <row r="2" spans="1:5" ht="15.75">
      <c r="A2" s="50" t="s">
        <v>108</v>
      </c>
      <c r="B2" s="50"/>
      <c r="C2" s="50"/>
      <c r="D2" s="18"/>
      <c r="E2" s="18"/>
    </row>
    <row r="3" ht="3.75" customHeight="1"/>
    <row r="4" spans="1:2" ht="12.75">
      <c r="A4" s="19" t="s">
        <v>8</v>
      </c>
      <c r="B4" t="s">
        <v>197</v>
      </c>
    </row>
    <row r="5" ht="3.75" customHeight="1">
      <c r="A5" s="19"/>
    </row>
    <row r="6" spans="1:2" ht="12.75">
      <c r="A6" s="19" t="s">
        <v>109</v>
      </c>
      <c r="B6" t="s">
        <v>201</v>
      </c>
    </row>
    <row r="7" ht="3.75" customHeight="1">
      <c r="A7" s="19"/>
    </row>
    <row r="8" spans="1:2" ht="12.75">
      <c r="A8" s="19" t="s">
        <v>9</v>
      </c>
      <c r="B8" t="s">
        <v>198</v>
      </c>
    </row>
    <row r="9" ht="3.75" customHeight="1">
      <c r="A9" s="19"/>
    </row>
    <row r="10" spans="1:2" ht="12.75">
      <c r="A10" s="19" t="s">
        <v>10</v>
      </c>
      <c r="B10" t="s">
        <v>199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67488615.90396632</v>
      </c>
    </row>
    <row r="14" ht="7.5" customHeight="1"/>
    <row r="15" spans="2:3" ht="12.75">
      <c r="B15" t="s">
        <v>112</v>
      </c>
      <c r="C15" s="16">
        <f>'3. Surface Water'!E38</f>
        <v>37467021.86580693</v>
      </c>
    </row>
    <row r="16" ht="7.5" customHeight="1"/>
    <row r="17" spans="2:3" ht="12.75">
      <c r="B17" t="s">
        <v>113</v>
      </c>
      <c r="C17" s="16">
        <f>'4. Air Pathway'!E30</f>
        <v>5764186.997369999</v>
      </c>
    </row>
    <row r="18" ht="7.5" customHeight="1"/>
    <row r="19" spans="2:3" ht="12.75">
      <c r="B19" t="s">
        <v>143</v>
      </c>
      <c r="C19" s="16">
        <f>'5. Direct Contact (waste pile)'!E37</f>
        <v>6340605.697106999</v>
      </c>
    </row>
    <row r="21" spans="2:3" ht="15.75">
      <c r="B21" s="4" t="s">
        <v>209</v>
      </c>
      <c r="C21" s="20">
        <f>(C13+C15+C17+C19)/100000</f>
        <v>1170.6043046425025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2009-01-27T17:06:25Z</dcterms:modified>
  <cp:category/>
  <cp:version/>
  <cp:contentType/>
  <cp:contentStatus/>
</cp:coreProperties>
</file>