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880" yWindow="1520" windowWidth="29420" windowHeight="20600" tabRatio="1000" activeTab="1"/>
  </bookViews>
  <sheets>
    <sheet name="Summary" sheetId="1" r:id="rId1"/>
    <sheet name="Metadata" sheetId="5" r:id="rId2"/>
    <sheet name="plots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55" i="1" l="1"/>
  <c r="AD50" i="1"/>
  <c r="AD44" i="1"/>
  <c r="AD39" i="1"/>
  <c r="AD33" i="1"/>
  <c r="AD60" i="1"/>
  <c r="AD28" i="1"/>
  <c r="AD22" i="1"/>
  <c r="AD17" i="1"/>
  <c r="AD13" i="1"/>
  <c r="AD8" i="1"/>
  <c r="AD3" i="1"/>
  <c r="AE55" i="1"/>
  <c r="AE50" i="1"/>
  <c r="AE44" i="1"/>
  <c r="AE39" i="1"/>
  <c r="AE33" i="1"/>
  <c r="AG63" i="1"/>
  <c r="AG62" i="1"/>
  <c r="AG61" i="1"/>
  <c r="AG58" i="1"/>
  <c r="AG57" i="1"/>
  <c r="AG56" i="1"/>
  <c r="AG53" i="1"/>
  <c r="AG52" i="1"/>
  <c r="AG51" i="1"/>
  <c r="AG48" i="1"/>
  <c r="AG47" i="1"/>
  <c r="AG46" i="1"/>
  <c r="AG45" i="1"/>
  <c r="AG42" i="1"/>
  <c r="AG41" i="1"/>
  <c r="AG40" i="1"/>
  <c r="AG37" i="1"/>
  <c r="AG36" i="1"/>
  <c r="AG35" i="1"/>
  <c r="AG34" i="1"/>
  <c r="AG31" i="1"/>
  <c r="AG30" i="1"/>
  <c r="AG29" i="1"/>
  <c r="AG26" i="1"/>
  <c r="AG25" i="1"/>
  <c r="AG24" i="1"/>
  <c r="AG23" i="1"/>
  <c r="AG20" i="1"/>
  <c r="AG19" i="1"/>
  <c r="AG18" i="1"/>
  <c r="AG15" i="1"/>
  <c r="AG14" i="1"/>
  <c r="AG11" i="1"/>
  <c r="AG10" i="1"/>
  <c r="AG9" i="1"/>
  <c r="AG5" i="1"/>
  <c r="AG4" i="1"/>
  <c r="AG6" i="1"/>
  <c r="AE60" i="1"/>
  <c r="AF62" i="1"/>
  <c r="AF63" i="1"/>
  <c r="AF61" i="1"/>
  <c r="AF58" i="1"/>
  <c r="AF57" i="1"/>
  <c r="AF56" i="1"/>
  <c r="AF48" i="1"/>
  <c r="AF47" i="1"/>
  <c r="AF46" i="1"/>
  <c r="AF45" i="1"/>
  <c r="AF53" i="1"/>
  <c r="AF52" i="1"/>
  <c r="AF51" i="1"/>
  <c r="AF41" i="1"/>
  <c r="AF42" i="1"/>
  <c r="AF40" i="1"/>
  <c r="AF35" i="1"/>
  <c r="AF36" i="1"/>
  <c r="AF37" i="1"/>
  <c r="AF34" i="1"/>
  <c r="AE28" i="1"/>
  <c r="AF30" i="1"/>
  <c r="AF31" i="1"/>
  <c r="AF29" i="1"/>
  <c r="AE22" i="1"/>
  <c r="AF24" i="1"/>
  <c r="AF25" i="1"/>
  <c r="AF26" i="1"/>
  <c r="AF23" i="1"/>
  <c r="AE17" i="1"/>
  <c r="AF19" i="1"/>
  <c r="AF20" i="1"/>
  <c r="AF18" i="1"/>
  <c r="AE13" i="1"/>
  <c r="AF15" i="1"/>
  <c r="AF14" i="1"/>
  <c r="AE8" i="1"/>
  <c r="AF10" i="1"/>
  <c r="AF11" i="1"/>
  <c r="AF9" i="1"/>
  <c r="AE3" i="1"/>
  <c r="AF5" i="1"/>
  <c r="AF6" i="1"/>
  <c r="AF4" i="1"/>
  <c r="K60" i="1"/>
  <c r="J60" i="1"/>
  <c r="L60" i="1"/>
  <c r="K55" i="1"/>
  <c r="J55" i="1"/>
  <c r="L55" i="1"/>
  <c r="K50" i="1"/>
  <c r="J50" i="1"/>
  <c r="L50" i="1"/>
  <c r="K44" i="1"/>
  <c r="J44" i="1"/>
  <c r="L44" i="1"/>
  <c r="K33" i="1"/>
  <c r="J33" i="1"/>
  <c r="L33" i="1"/>
  <c r="K39" i="1"/>
  <c r="J39" i="1"/>
  <c r="L39" i="1"/>
  <c r="K28" i="1"/>
  <c r="J28" i="1"/>
  <c r="L28" i="1"/>
  <c r="K23" i="1"/>
  <c r="J23" i="1"/>
  <c r="L23" i="1"/>
  <c r="K18" i="1"/>
  <c r="J18" i="1"/>
  <c r="L18" i="1"/>
  <c r="K14" i="1"/>
  <c r="J14" i="1"/>
  <c r="L14" i="1"/>
  <c r="K9" i="1"/>
  <c r="J9" i="1"/>
  <c r="L9" i="1"/>
  <c r="K4" i="1"/>
  <c r="J4" i="1"/>
  <c r="L4" i="1"/>
</calcChain>
</file>

<file path=xl/sharedStrings.xml><?xml version="1.0" encoding="utf-8"?>
<sst xmlns="http://schemas.openxmlformats.org/spreadsheetml/2006/main" count="295" uniqueCount="131">
  <si>
    <t>Sample ID</t>
  </si>
  <si>
    <t>Trial</t>
  </si>
  <si>
    <t>&lt;10% change?</t>
  </si>
  <si>
    <t>Change in confining column throughout EACH TRIAL (mL)</t>
  </si>
  <si>
    <t>Change in Confining column since DEFROST (mL)</t>
  </si>
  <si>
    <t>Total time (min)</t>
  </si>
  <si>
    <t>Change in head height [h1-h2] (cm)</t>
  </si>
  <si>
    <t>Initial Inflow head height (cm)</t>
  </si>
  <si>
    <t>Final Inflow head height (cm)</t>
  </si>
  <si>
    <t>Outflow head height (cm)</t>
  </si>
  <si>
    <t>Confining Pressure (PSI)</t>
  </si>
  <si>
    <t>Pore Pressure @ Inlet (PSI)</t>
  </si>
  <si>
    <t>Pore Pressure @ Outlet (PSI)</t>
  </si>
  <si>
    <t>Effective Stress @ Inlet (PSI)</t>
  </si>
  <si>
    <t>Effective Stress @ Outlet (PSI)</t>
  </si>
  <si>
    <t>Change in diameter of sample (cm)</t>
  </si>
  <si>
    <t>Change in length of sample (cm)</t>
  </si>
  <si>
    <t>Temp (degrees C)</t>
  </si>
  <si>
    <t>Total Flow Through Sample (mL), per trial</t>
  </si>
  <si>
    <t>AB117_PWR_1</t>
  </si>
  <si>
    <t>DF</t>
  </si>
  <si>
    <t>no</t>
  </si>
  <si>
    <t>yes</t>
  </si>
  <si>
    <t>AB117_PWR_2</t>
  </si>
  <si>
    <t>-</t>
  </si>
  <si>
    <t>DTLB38_PWR_1</t>
  </si>
  <si>
    <t>AB117_PWR_3</t>
  </si>
  <si>
    <t>DTLB38_PWR_2</t>
  </si>
  <si>
    <t>N/A</t>
  </si>
  <si>
    <t>*Confining column drained before start of Trial 1</t>
  </si>
  <si>
    <t>DTLB40_PWR_1</t>
  </si>
  <si>
    <t>DTLB40_PWR_2</t>
  </si>
  <si>
    <t>BD01_PWR_1</t>
  </si>
  <si>
    <t>BD01_PWR_2</t>
  </si>
  <si>
    <t>BD06_PWR_1</t>
  </si>
  <si>
    <t>BD06_PWR_2</t>
  </si>
  <si>
    <t>DTLB19_PWR_1</t>
  </si>
  <si>
    <t>Feature</t>
  </si>
  <si>
    <t>High Center, TROUGH</t>
  </si>
  <si>
    <t>High Center, CENTER</t>
  </si>
  <si>
    <t>Low Center, CENTER</t>
  </si>
  <si>
    <t>Low Center, RIM</t>
  </si>
  <si>
    <t>*Eliminated last three points in Trial 6 (T2) that deviated from trend and recalculated K</t>
  </si>
  <si>
    <t>Depth (cm)</t>
  </si>
  <si>
    <t>Average K (cm/s)</t>
  </si>
  <si>
    <t>SD (cm/s)</t>
  </si>
  <si>
    <t>K (cm/s)</t>
  </si>
  <si>
    <t>% Change btwn trials</t>
  </si>
  <si>
    <t>SD (% of avg)</t>
  </si>
  <si>
    <t>sample diameter (end) (cm)</t>
  </si>
  <si>
    <t>estimated pore volume for porosity  0.4 (mL)</t>
  </si>
  <si>
    <t>total flow through sample, per trial (PV)</t>
  </si>
  <si>
    <t>durationo f flow (min)</t>
  </si>
  <si>
    <t>sample length (end) (cm)</t>
  </si>
  <si>
    <t>CONTACT INFO</t>
  </si>
  <si>
    <t>CT SCANS</t>
  </si>
  <si>
    <t>FIELD COLLECTION</t>
  </si>
  <si>
    <t>Tim Kneafsey</t>
  </si>
  <si>
    <t>data pending</t>
  </si>
  <si>
    <t>Name</t>
  </si>
  <si>
    <t>Craig Ulrich</t>
  </si>
  <si>
    <t>Lab</t>
  </si>
  <si>
    <t>LBNL</t>
  </si>
  <si>
    <t>Yes</t>
  </si>
  <si>
    <t>completed analysis</t>
  </si>
  <si>
    <t>Phone</t>
  </si>
  <si>
    <t>510-486-4414</t>
  </si>
  <si>
    <t>510-495-8891</t>
  </si>
  <si>
    <t>in process analysis</t>
  </si>
  <si>
    <t>Email</t>
  </si>
  <si>
    <t>tjkneafsey@lbl.gov</t>
  </si>
  <si>
    <t>culrich@lbl.gov</t>
  </si>
  <si>
    <t>No</t>
  </si>
  <si>
    <t>no analysis</t>
  </si>
  <si>
    <t>Core Summary Table (describes what has been done, core condition, where stored, etc.)</t>
  </si>
  <si>
    <t>Updated</t>
  </si>
  <si>
    <t>Core Name (Web)</t>
  </si>
  <si>
    <t>File Resolution (pixels per mm)</t>
  </si>
  <si>
    <r>
      <t xml:space="preserve">File Voxel Size (mm) </t>
    </r>
    <r>
      <rPr>
        <sz val="10"/>
        <color rgb="FFEB0000"/>
        <rFont val="Verdana"/>
      </rPr>
      <t>[varies between cores]</t>
    </r>
  </si>
  <si>
    <t>Date Scanned (mmddyy)</t>
  </si>
  <si>
    <t>Core Name</t>
  </si>
  <si>
    <t>Field Core Name</t>
  </si>
  <si>
    <t>Zone</t>
  </si>
  <si>
    <t>Poly type</t>
  </si>
  <si>
    <t>Poly feature</t>
  </si>
  <si>
    <t>Drilled by</t>
  </si>
  <si>
    <t>Drill type</t>
  </si>
  <si>
    <t>Date collected</t>
  </si>
  <si>
    <t>Northing m</t>
  </si>
  <si>
    <t xml:space="preserve">Easting m </t>
  </si>
  <si>
    <t>Elev. M</t>
  </si>
  <si>
    <t>Location stored</t>
  </si>
  <si>
    <t>Nearest ALT depth cm</t>
  </si>
  <si>
    <t>Nearest ALT year</t>
  </si>
  <si>
    <t>CT scan</t>
  </si>
  <si>
    <t>Physical Property</t>
  </si>
  <si>
    <t>Aqueous chem</t>
  </si>
  <si>
    <t>Hydr. Cond.</t>
  </si>
  <si>
    <t>C/N</t>
  </si>
  <si>
    <t>Microbial</t>
  </si>
  <si>
    <t>Core Depth cm</t>
  </si>
  <si>
    <t>Notes</t>
  </si>
  <si>
    <t>0.39 x 0.39 x 2.50</t>
  </si>
  <si>
    <t>051313</t>
  </si>
  <si>
    <t>AB Trans</t>
  </si>
  <si>
    <t>center</t>
  </si>
  <si>
    <t>LANL</t>
  </si>
  <si>
    <t>Sipre</t>
  </si>
  <si>
    <t>AB117</t>
  </si>
  <si>
    <t>AB-117</t>
  </si>
  <si>
    <t>HCP</t>
  </si>
  <si>
    <t>trough</t>
  </si>
  <si>
    <t>BD01 (51)</t>
  </si>
  <si>
    <t>051413</t>
  </si>
  <si>
    <t>BD-001CW</t>
  </si>
  <si>
    <t>BD Trans</t>
  </si>
  <si>
    <t>051013</t>
  </si>
  <si>
    <t>rim</t>
  </si>
  <si>
    <t>BD06 (52)</t>
  </si>
  <si>
    <t>BD-006</t>
  </si>
  <si>
    <t>LCP</t>
  </si>
  <si>
    <t xml:space="preserve">DTLB38 </t>
  </si>
  <si>
    <t>DTLB-38</t>
  </si>
  <si>
    <t>DTLB</t>
  </si>
  <si>
    <t xml:space="preserve">DTLB40 </t>
  </si>
  <si>
    <t>DTLB-40</t>
  </si>
  <si>
    <t>DTLB19</t>
  </si>
  <si>
    <t>DTLB-19</t>
  </si>
  <si>
    <t>**Official hydraulic conductivity NGEE report in progress and will be available by May 2015</t>
  </si>
  <si>
    <t>Methodology</t>
  </si>
  <si>
    <t>Please refer to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</si>
</sst>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Verdana"/>
    </font>
    <font>
      <sz val="10"/>
      <color rgb="FFEB0000"/>
      <name val="Verdana"/>
    </font>
    <font>
      <b/>
      <sz val="10"/>
      <color indexed="8"/>
      <name val="Helvetica"/>
    </font>
    <font>
      <sz val="10"/>
      <color indexed="8"/>
      <name val="Helvetica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2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vertical="center" wrapText="1"/>
    </xf>
    <xf numFmtId="11" fontId="0" fillId="0" borderId="0" xfId="0" applyNumberFormat="1" applyAlignment="1">
      <alignment horizontal="right"/>
    </xf>
    <xf numFmtId="11" fontId="0" fillId="2" borderId="0" xfId="0" applyNumberFormat="1" applyFill="1" applyAlignment="1">
      <alignment horizontal="right" wrapText="1"/>
    </xf>
    <xf numFmtId="11" fontId="0" fillId="3" borderId="0" xfId="0" applyNumberFormat="1" applyFill="1" applyAlignment="1">
      <alignment horizontal="right"/>
    </xf>
    <xf numFmtId="10" fontId="0" fillId="2" borderId="0" xfId="0" applyNumberFormat="1" applyFill="1" applyAlignment="1">
      <alignment horizontal="right" wrapText="1"/>
    </xf>
    <xf numFmtId="10" fontId="0" fillId="0" borderId="0" xfId="0" applyNumberFormat="1" applyAlignment="1">
      <alignment horizontal="right"/>
    </xf>
    <xf numFmtId="10" fontId="0" fillId="3" borderId="0" xfId="0" applyNumberForma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2" fontId="0" fillId="2" borderId="0" xfId="0" applyNumberFormat="1" applyFill="1" applyAlignment="1">
      <alignment horizontal="right" wrapText="1"/>
    </xf>
    <xf numFmtId="2" fontId="0" fillId="3" borderId="0" xfId="0" applyNumberFormat="1" applyFill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6" borderId="1" xfId="169" applyFill="1" applyBorder="1" applyAlignment="1">
      <alignment horizontal="center" vertical="center"/>
    </xf>
    <xf numFmtId="0" fontId="10" fillId="0" borderId="1" xfId="169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4" borderId="0" xfId="0" applyFill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12" fillId="7" borderId="2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49" fontId="12" fillId="8" borderId="1" xfId="0" applyNumberFormat="1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17" fontId="1" fillId="3" borderId="0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4" fillId="9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3" borderId="0" xfId="0" applyNumberFormat="1" applyFont="1" applyFill="1" applyBorder="1" applyAlignment="1">
      <alignment horizontal="left" vertical="center" wrapText="1"/>
    </xf>
    <xf numFmtId="0" fontId="15" fillId="3" borderId="0" xfId="0" applyNumberFormat="1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17" fontId="1" fillId="0" borderId="0" xfId="0" applyNumberFormat="1" applyFont="1" applyAlignment="1">
      <alignment horizontal="left" vertical="center"/>
    </xf>
    <xf numFmtId="0" fontId="14" fillId="4" borderId="0" xfId="0" applyNumberFormat="1" applyFont="1" applyFill="1" applyBorder="1" applyAlignment="1">
      <alignment horizontal="left" vertical="center" wrapText="1"/>
    </xf>
    <xf numFmtId="0" fontId="15" fillId="4" borderId="0" xfId="0" applyNumberFormat="1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/>
    </xf>
    <xf numFmtId="17" fontId="1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8" fillId="5" borderId="0" xfId="0" applyFont="1" applyFill="1" applyAlignment="1">
      <alignment horizontal="center" vertical="center" wrapText="1"/>
    </xf>
  </cellXfs>
  <cellStyles count="17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8.xml"/><Relationship Id="rId12" Type="http://schemas.openxmlformats.org/officeDocument/2006/relationships/externalLink" Target="externalLinks/externalLink9.xml"/><Relationship Id="rId13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11.xml"/><Relationship Id="rId15" Type="http://schemas.openxmlformats.org/officeDocument/2006/relationships/externalLink" Target="externalLinks/externalLink12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6.xml"/><Relationship Id="rId10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trials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Summary!$AF$2</c:f>
              <c:strCache>
                <c:ptCount val="1"/>
                <c:pt idx="0">
                  <c:v>total flow through sample, per trial (PV)</c:v>
                </c:pt>
              </c:strCache>
            </c:strRef>
          </c:tx>
          <c:spPr>
            <a:ln w="47625">
              <a:noFill/>
            </a:ln>
          </c:spPr>
          <c:trendline>
            <c:trendlineType val="power"/>
            <c:dispRSqr val="1"/>
            <c:dispEq val="0"/>
            <c:trendlineLbl>
              <c:layout>
                <c:manualLayout>
                  <c:x val="-0.0318015880671884"/>
                  <c:y val="-0.023171051123807"/>
                </c:manualLayout>
              </c:layout>
              <c:numFmt formatCode="General" sourceLinked="0"/>
            </c:trendlineLbl>
          </c:trendline>
          <c:xVal>
            <c:numRef>
              <c:f>Summary!$G$3:$G$63</c:f>
              <c:numCache>
                <c:formatCode>0.00E+00</c:formatCode>
                <c:ptCount val="61"/>
                <c:pt idx="1">
                  <c:v>1.52421371978464E-6</c:v>
                </c:pt>
                <c:pt idx="2">
                  <c:v>1.11490066619551E-6</c:v>
                </c:pt>
                <c:pt idx="3">
                  <c:v>1.09427883734286E-6</c:v>
                </c:pt>
                <c:pt idx="6">
                  <c:v>1.48184141611194E-5</c:v>
                </c:pt>
                <c:pt idx="7">
                  <c:v>1.2435651016721E-5</c:v>
                </c:pt>
                <c:pt idx="8">
                  <c:v>1.50191755900438E-5</c:v>
                </c:pt>
                <c:pt idx="11">
                  <c:v>2.93599613571862E-7</c:v>
                </c:pt>
                <c:pt idx="12">
                  <c:v>3.21310293791425E-7</c:v>
                </c:pt>
                <c:pt idx="15">
                  <c:v>6.34951454885742E-5</c:v>
                </c:pt>
                <c:pt idx="16">
                  <c:v>5.77409752869144E-5</c:v>
                </c:pt>
                <c:pt idx="17">
                  <c:v>3.28911106498863E-5</c:v>
                </c:pt>
                <c:pt idx="20">
                  <c:v>0.000197663223831374</c:v>
                </c:pt>
                <c:pt idx="21">
                  <c:v>0.000320793500410377</c:v>
                </c:pt>
                <c:pt idx="22">
                  <c:v>0.00028519232216915</c:v>
                </c:pt>
                <c:pt idx="23">
                  <c:v>0.00025809466315153</c:v>
                </c:pt>
                <c:pt idx="26">
                  <c:v>1.83305766609197E-5</c:v>
                </c:pt>
                <c:pt idx="27">
                  <c:v>9.47284159775006E-6</c:v>
                </c:pt>
                <c:pt idx="28">
                  <c:v>7.89298640986424E-6</c:v>
                </c:pt>
                <c:pt idx="31">
                  <c:v>0.000162743084171469</c:v>
                </c:pt>
                <c:pt idx="32">
                  <c:v>3.46706197034386E-5</c:v>
                </c:pt>
                <c:pt idx="33">
                  <c:v>3.66498148306682E-5</c:v>
                </c:pt>
                <c:pt idx="34">
                  <c:v>3.0009717221947E-5</c:v>
                </c:pt>
                <c:pt idx="37">
                  <c:v>0.000123949598819079</c:v>
                </c:pt>
                <c:pt idx="38">
                  <c:v>8.6607316251056E-5</c:v>
                </c:pt>
                <c:pt idx="39">
                  <c:v>5.79070671025813E-5</c:v>
                </c:pt>
                <c:pt idx="42">
                  <c:v>4.22906675861023E-6</c:v>
                </c:pt>
                <c:pt idx="43">
                  <c:v>1.34845553684227E-5</c:v>
                </c:pt>
                <c:pt idx="44">
                  <c:v>8.07325503726865E-6</c:v>
                </c:pt>
                <c:pt idx="45">
                  <c:v>1.13996834406988E-5</c:v>
                </c:pt>
                <c:pt idx="48">
                  <c:v>0.00097378209080812</c:v>
                </c:pt>
                <c:pt idx="49">
                  <c:v>0.000850266383215898</c:v>
                </c:pt>
                <c:pt idx="50">
                  <c:v>0.000825592321980856</c:v>
                </c:pt>
                <c:pt idx="53">
                  <c:v>0.000505361910180595</c:v>
                </c:pt>
                <c:pt idx="54">
                  <c:v>0.000719048434812111</c:v>
                </c:pt>
                <c:pt idx="55">
                  <c:v>0.000781371561555654</c:v>
                </c:pt>
                <c:pt idx="58">
                  <c:v>0.000727030206352309</c:v>
                </c:pt>
                <c:pt idx="59">
                  <c:v>0.000781513488368185</c:v>
                </c:pt>
                <c:pt idx="60">
                  <c:v>0.000688185008418114</c:v>
                </c:pt>
              </c:numCache>
            </c:numRef>
          </c:xVal>
          <c:yVal>
            <c:numRef>
              <c:f>Summary!$AF$3:$AF$63</c:f>
              <c:numCache>
                <c:formatCode>0.00</c:formatCode>
                <c:ptCount val="61"/>
                <c:pt idx="1">
                  <c:v>0.0474069788547803</c:v>
                </c:pt>
                <c:pt idx="2">
                  <c:v>0.0313064954701379</c:v>
                </c:pt>
                <c:pt idx="3">
                  <c:v>0.0326482024188581</c:v>
                </c:pt>
                <c:pt idx="6">
                  <c:v>0.0577430868852811</c:v>
                </c:pt>
                <c:pt idx="7">
                  <c:v>0.0378939007684657</c:v>
                </c:pt>
                <c:pt idx="8">
                  <c:v>0.0649609727459413</c:v>
                </c:pt>
                <c:pt idx="11">
                  <c:v>0.0772834466882177</c:v>
                </c:pt>
                <c:pt idx="12">
                  <c:v>0.0142262095821834</c:v>
                </c:pt>
                <c:pt idx="15">
                  <c:v>0.619154857119561</c:v>
                </c:pt>
                <c:pt idx="16">
                  <c:v>0.76860602952773</c:v>
                </c:pt>
                <c:pt idx="17">
                  <c:v>3.647836932002574</c:v>
                </c:pt>
                <c:pt idx="20">
                  <c:v>0.842094228814599</c:v>
                </c:pt>
                <c:pt idx="21">
                  <c:v>4.662505622994171</c:v>
                </c:pt>
                <c:pt idx="22">
                  <c:v>8.724172892509711</c:v>
                </c:pt>
                <c:pt idx="23">
                  <c:v>7.402328514856725</c:v>
                </c:pt>
                <c:pt idx="26">
                  <c:v>0.0716849641041129</c:v>
                </c:pt>
                <c:pt idx="27">
                  <c:v>0.150197067646713</c:v>
                </c:pt>
                <c:pt idx="28">
                  <c:v>0.0436936924063164</c:v>
                </c:pt>
                <c:pt idx="31">
                  <c:v>0.287619774937979</c:v>
                </c:pt>
                <c:pt idx="32">
                  <c:v>1.170314946299362</c:v>
                </c:pt>
                <c:pt idx="33">
                  <c:v>0.684336705886915</c:v>
                </c:pt>
                <c:pt idx="34">
                  <c:v>0.614911242970851</c:v>
                </c:pt>
                <c:pt idx="37">
                  <c:v>0.524328496697307</c:v>
                </c:pt>
                <c:pt idx="38">
                  <c:v>0.3676326241211</c:v>
                </c:pt>
                <c:pt idx="39">
                  <c:v>0.274217777008362</c:v>
                </c:pt>
                <c:pt idx="42">
                  <c:v>0.0882542890540107</c:v>
                </c:pt>
                <c:pt idx="43">
                  <c:v>0.13056133035597</c:v>
                </c:pt>
                <c:pt idx="44">
                  <c:v>0.10228445808311</c:v>
                </c:pt>
                <c:pt idx="45">
                  <c:v>0.0920258398682846</c:v>
                </c:pt>
                <c:pt idx="48">
                  <c:v>0.497804348130555</c:v>
                </c:pt>
                <c:pt idx="49">
                  <c:v>0.488834900416491</c:v>
                </c:pt>
                <c:pt idx="50">
                  <c:v>0.479865452702427</c:v>
                </c:pt>
                <c:pt idx="53">
                  <c:v>1.234997022146424</c:v>
                </c:pt>
                <c:pt idx="54">
                  <c:v>1.299033904776238</c:v>
                </c:pt>
                <c:pt idx="55">
                  <c:v>1.308182030866212</c:v>
                </c:pt>
                <c:pt idx="58">
                  <c:v>0.402811188708885</c:v>
                </c:pt>
                <c:pt idx="59">
                  <c:v>0.479537129415339</c:v>
                </c:pt>
                <c:pt idx="60">
                  <c:v>0.479537129415339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721160"/>
        <c:axId val="2116726104"/>
      </c:scatterChart>
      <c:valAx>
        <c:axId val="2116721160"/>
        <c:scaling>
          <c:logBase val="10.0"/>
          <c:orientation val="minMax"/>
          <c:max val="0.00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 (cm/s)</a:t>
                </a:r>
              </a:p>
            </c:rich>
          </c:tx>
          <c:overlay val="0"/>
        </c:title>
        <c:numFmt formatCode="0.E+00" sourceLinked="0"/>
        <c:majorTickMark val="out"/>
        <c:minorTickMark val="none"/>
        <c:tickLblPos val="nextTo"/>
        <c:crossAx val="2116726104"/>
        <c:crossesAt val="0.01"/>
        <c:crossBetween val="midCat"/>
      </c:valAx>
      <c:valAx>
        <c:axId val="2116726104"/>
        <c:scaling>
          <c:logBase val="10.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pore volumes of flow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116721160"/>
        <c:crossesAt val="1.0E-7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trials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Summary!$AF$2</c:f>
              <c:strCache>
                <c:ptCount val="1"/>
                <c:pt idx="0">
                  <c:v>total flow through sample, per trial (PV)</c:v>
                </c:pt>
              </c:strCache>
            </c:strRef>
          </c:tx>
          <c:spPr>
            <a:ln w="47625">
              <a:noFill/>
            </a:ln>
          </c:spPr>
          <c:trendline>
            <c:trendlineType val="power"/>
            <c:dispRSqr val="1"/>
            <c:dispEq val="0"/>
            <c:trendlineLbl>
              <c:layout>
                <c:manualLayout>
                  <c:x val="-0.0318015880671884"/>
                  <c:y val="-0.023171051123807"/>
                </c:manualLayout>
              </c:layout>
              <c:numFmt formatCode="General" sourceLinked="0"/>
            </c:trendlineLbl>
          </c:trendline>
          <c:xVal>
            <c:numRef>
              <c:f>Summary!$G$3:$G$63</c:f>
              <c:numCache>
                <c:formatCode>0.00E+00</c:formatCode>
                <c:ptCount val="61"/>
                <c:pt idx="1">
                  <c:v>1.52421371978464E-6</c:v>
                </c:pt>
                <c:pt idx="2">
                  <c:v>1.11490066619551E-6</c:v>
                </c:pt>
                <c:pt idx="3">
                  <c:v>1.09427883734286E-6</c:v>
                </c:pt>
                <c:pt idx="6">
                  <c:v>1.48184141611194E-5</c:v>
                </c:pt>
                <c:pt idx="7">
                  <c:v>1.2435651016721E-5</c:v>
                </c:pt>
                <c:pt idx="8">
                  <c:v>1.50191755900438E-5</c:v>
                </c:pt>
                <c:pt idx="11">
                  <c:v>2.93599613571862E-7</c:v>
                </c:pt>
                <c:pt idx="12">
                  <c:v>3.21310293791425E-7</c:v>
                </c:pt>
                <c:pt idx="15">
                  <c:v>6.34951454885742E-5</c:v>
                </c:pt>
                <c:pt idx="16">
                  <c:v>5.77409752869144E-5</c:v>
                </c:pt>
                <c:pt idx="17">
                  <c:v>3.28911106498863E-5</c:v>
                </c:pt>
                <c:pt idx="20">
                  <c:v>0.000197663223831374</c:v>
                </c:pt>
                <c:pt idx="21">
                  <c:v>0.000320793500410377</c:v>
                </c:pt>
                <c:pt idx="22">
                  <c:v>0.00028519232216915</c:v>
                </c:pt>
                <c:pt idx="23">
                  <c:v>0.00025809466315153</c:v>
                </c:pt>
                <c:pt idx="26">
                  <c:v>1.83305766609197E-5</c:v>
                </c:pt>
                <c:pt idx="27">
                  <c:v>9.47284159775006E-6</c:v>
                </c:pt>
                <c:pt idx="28">
                  <c:v>7.89298640986424E-6</c:v>
                </c:pt>
                <c:pt idx="31">
                  <c:v>0.000162743084171469</c:v>
                </c:pt>
                <c:pt idx="32">
                  <c:v>3.46706197034386E-5</c:v>
                </c:pt>
                <c:pt idx="33">
                  <c:v>3.66498148306682E-5</c:v>
                </c:pt>
                <c:pt idx="34">
                  <c:v>3.0009717221947E-5</c:v>
                </c:pt>
                <c:pt idx="37">
                  <c:v>0.000123949598819079</c:v>
                </c:pt>
                <c:pt idx="38">
                  <c:v>8.6607316251056E-5</c:v>
                </c:pt>
                <c:pt idx="39">
                  <c:v>5.79070671025813E-5</c:v>
                </c:pt>
                <c:pt idx="42">
                  <c:v>4.22906675861023E-6</c:v>
                </c:pt>
                <c:pt idx="43">
                  <c:v>1.34845553684227E-5</c:v>
                </c:pt>
                <c:pt idx="44">
                  <c:v>8.07325503726865E-6</c:v>
                </c:pt>
                <c:pt idx="45">
                  <c:v>1.13996834406988E-5</c:v>
                </c:pt>
                <c:pt idx="48">
                  <c:v>0.00097378209080812</c:v>
                </c:pt>
                <c:pt idx="49">
                  <c:v>0.000850266383215898</c:v>
                </c:pt>
                <c:pt idx="50">
                  <c:v>0.000825592321980856</c:v>
                </c:pt>
                <c:pt idx="53">
                  <c:v>0.000505361910180595</c:v>
                </c:pt>
                <c:pt idx="54">
                  <c:v>0.000719048434812111</c:v>
                </c:pt>
                <c:pt idx="55">
                  <c:v>0.000781371561555654</c:v>
                </c:pt>
                <c:pt idx="58">
                  <c:v>0.000727030206352309</c:v>
                </c:pt>
                <c:pt idx="59">
                  <c:v>0.000781513488368185</c:v>
                </c:pt>
                <c:pt idx="60">
                  <c:v>0.000688185008418114</c:v>
                </c:pt>
              </c:numCache>
            </c:numRef>
          </c:xVal>
          <c:yVal>
            <c:numRef>
              <c:f>Summary!$AG$3:$AG$63</c:f>
              <c:numCache>
                <c:formatCode>General</c:formatCode>
                <c:ptCount val="61"/>
                <c:pt idx="1">
                  <c:v>73.0</c:v>
                </c:pt>
                <c:pt idx="2">
                  <c:v>64.0</c:v>
                </c:pt>
                <c:pt idx="3">
                  <c:v>68.0</c:v>
                </c:pt>
                <c:pt idx="6">
                  <c:v>83.0</c:v>
                </c:pt>
                <c:pt idx="7">
                  <c:v>70.0</c:v>
                </c:pt>
                <c:pt idx="8">
                  <c:v>117.5</c:v>
                </c:pt>
                <c:pt idx="11" formatCode="0.00">
                  <c:v>1220.0</c:v>
                </c:pt>
                <c:pt idx="12">
                  <c:v>62.5</c:v>
                </c:pt>
                <c:pt idx="15">
                  <c:v>31.0</c:v>
                </c:pt>
                <c:pt idx="16">
                  <c:v>44.0</c:v>
                </c:pt>
                <c:pt idx="17">
                  <c:v>352.0</c:v>
                </c:pt>
                <c:pt idx="20">
                  <c:v>11.0</c:v>
                </c:pt>
                <c:pt idx="21">
                  <c:v>34.0</c:v>
                </c:pt>
                <c:pt idx="22">
                  <c:v>78.0</c:v>
                </c:pt>
                <c:pt idx="23">
                  <c:v>69.0</c:v>
                </c:pt>
                <c:pt idx="26">
                  <c:v>32.0</c:v>
                </c:pt>
                <c:pt idx="27">
                  <c:v>131.0</c:v>
                </c:pt>
                <c:pt idx="28">
                  <c:v>42.0</c:v>
                </c:pt>
                <c:pt idx="31">
                  <c:v>7.0</c:v>
                </c:pt>
                <c:pt idx="32">
                  <c:v>75.0</c:v>
                </c:pt>
                <c:pt idx="33">
                  <c:v>46.0</c:v>
                </c:pt>
                <c:pt idx="34">
                  <c:v>49.0</c:v>
                </c:pt>
                <c:pt idx="37">
                  <c:v>33.0</c:v>
                </c:pt>
                <c:pt idx="38">
                  <c:v>31.5</c:v>
                </c:pt>
                <c:pt idx="39">
                  <c:v>33.0</c:v>
                </c:pt>
                <c:pt idx="42">
                  <c:v>148.0</c:v>
                </c:pt>
                <c:pt idx="43">
                  <c:v>55.5</c:v>
                </c:pt>
                <c:pt idx="44">
                  <c:v>69.5</c:v>
                </c:pt>
                <c:pt idx="45">
                  <c:v>43.0</c:v>
                </c:pt>
                <c:pt idx="48">
                  <c:v>4.0</c:v>
                </c:pt>
                <c:pt idx="49">
                  <c:v>4.5</c:v>
                </c:pt>
                <c:pt idx="50">
                  <c:v>4.5</c:v>
                </c:pt>
                <c:pt idx="53">
                  <c:v>8.5</c:v>
                </c:pt>
                <c:pt idx="54">
                  <c:v>6.5</c:v>
                </c:pt>
                <c:pt idx="55">
                  <c:v>6.0</c:v>
                </c:pt>
                <c:pt idx="58" formatCode="0.00">
                  <c:v>6.0</c:v>
                </c:pt>
                <c:pt idx="59">
                  <c:v>7.0</c:v>
                </c:pt>
                <c:pt idx="60">
                  <c:v>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851048"/>
        <c:axId val="2091645992"/>
      </c:scatterChart>
      <c:valAx>
        <c:axId val="2091851048"/>
        <c:scaling>
          <c:logBase val="10.0"/>
          <c:orientation val="minMax"/>
          <c:max val="0.00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 (cm/s)</a:t>
                </a:r>
              </a:p>
            </c:rich>
          </c:tx>
          <c:overlay val="0"/>
        </c:title>
        <c:numFmt formatCode="0.E+00" sourceLinked="0"/>
        <c:majorTickMark val="out"/>
        <c:minorTickMark val="none"/>
        <c:tickLblPos val="nextTo"/>
        <c:crossAx val="2091645992"/>
        <c:crossesAt val="0.01"/>
        <c:crossBetween val="midCat"/>
      </c:valAx>
      <c:valAx>
        <c:axId val="2091645992"/>
        <c:scaling>
          <c:logBase val="10.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durationo f flow (minutes)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1851048"/>
        <c:crossesAt val="1.0E-7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30480</xdr:colOff>
      <xdr:row>25</xdr:row>
      <xdr:rowOff>124460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30480</xdr:colOff>
      <xdr:row>25</xdr:row>
      <xdr:rowOff>124460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%20spreadsheets/final%20V1/AB117_PWR_1_final%20v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%20spreadsheets/final%20V1/DTLB40_PWR_1_final%20v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%20spreadsheets/final%20V1/DTLB40_PWR_2_final%20v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%20spreadsheets/final%20V1/DTLB19_PWR_1_final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%20spreadsheets/final%20V1/AB117_PWR_2_fin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%20spreadsheets/final%20V1/AB117_PWR_3_final%20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%20spreadsheets/final%20V1/BD01_PWR_1_final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%20spreadsheets/final%20V1/BD01_PWR_2_final%20v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%20spreadsheets/final%20V1/BD06_PWR_1_final%20v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%20spreadsheets/final%20V1/BD06_PWR_2_final%20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%20spreadsheets/final%20V1/DTLB38_PWR_1_final%20v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%20spreadsheets/final%20V1/DTLB38_PWR_2_final%20v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3"/>
      <sheetName val="T2"/>
      <sheetName val="T1"/>
      <sheetName val="DF"/>
    </sheetNames>
    <sheetDataSet>
      <sheetData sheetId="0" refreshError="1"/>
      <sheetData sheetId="1">
        <row r="21">
          <cell r="G21">
            <v>12</v>
          </cell>
        </row>
        <row r="26">
          <cell r="G26">
            <v>80</v>
          </cell>
        </row>
      </sheetData>
      <sheetData sheetId="2">
        <row r="21">
          <cell r="G21">
            <v>16</v>
          </cell>
        </row>
        <row r="25">
          <cell r="G25">
            <v>80</v>
          </cell>
        </row>
      </sheetData>
      <sheetData sheetId="3">
        <row r="20">
          <cell r="G20">
            <v>8</v>
          </cell>
        </row>
        <row r="27">
          <cell r="G27">
            <v>81</v>
          </cell>
        </row>
      </sheetData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3"/>
      <sheetName val="T2"/>
      <sheetName val="T1"/>
      <sheetName val="DF"/>
    </sheetNames>
    <sheetDataSet>
      <sheetData sheetId="0" refreshError="1"/>
      <sheetData sheetId="1">
        <row r="18">
          <cell r="G18">
            <v>1</v>
          </cell>
        </row>
        <row r="27">
          <cell r="G27">
            <v>5.5</v>
          </cell>
        </row>
      </sheetData>
      <sheetData sheetId="2">
        <row r="18">
          <cell r="G18">
            <v>1</v>
          </cell>
        </row>
        <row r="26">
          <cell r="G26">
            <v>5.5</v>
          </cell>
        </row>
      </sheetData>
      <sheetData sheetId="3">
        <row r="18">
          <cell r="G18">
            <v>1</v>
          </cell>
        </row>
        <row r="25">
          <cell r="G25">
            <v>5</v>
          </cell>
        </row>
      </sheetData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3"/>
      <sheetName val="T2"/>
      <sheetName val="T1"/>
      <sheetName val="DF"/>
    </sheetNames>
    <sheetDataSet>
      <sheetData sheetId="0" refreshError="1"/>
      <sheetData sheetId="1">
        <row r="18">
          <cell r="G18">
            <v>1</v>
          </cell>
        </row>
        <row r="24">
          <cell r="G24">
            <v>7</v>
          </cell>
        </row>
      </sheetData>
      <sheetData sheetId="2">
        <row r="18">
          <cell r="G18">
            <v>1</v>
          </cell>
        </row>
        <row r="24">
          <cell r="G24">
            <v>7.5</v>
          </cell>
        </row>
      </sheetData>
      <sheetData sheetId="3">
        <row r="18">
          <cell r="G18">
            <v>1</v>
          </cell>
        </row>
        <row r="24">
          <cell r="G24">
            <v>9.5</v>
          </cell>
        </row>
      </sheetData>
      <sheetData sheetId="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3"/>
      <sheetName val="T2"/>
      <sheetName val="T1"/>
      <sheetName val="DF"/>
    </sheetNames>
    <sheetDataSet>
      <sheetData sheetId="0" refreshError="1"/>
      <sheetData sheetId="1">
        <row r="18">
          <cell r="G18">
            <v>1</v>
          </cell>
        </row>
        <row r="26">
          <cell r="G26">
            <v>9</v>
          </cell>
        </row>
      </sheetData>
      <sheetData sheetId="2">
        <row r="18">
          <cell r="G18">
            <v>1</v>
          </cell>
        </row>
        <row r="25">
          <cell r="G25">
            <v>8</v>
          </cell>
        </row>
      </sheetData>
      <sheetData sheetId="3">
        <row r="18">
          <cell r="G18">
            <v>1</v>
          </cell>
        </row>
        <row r="24">
          <cell r="G24">
            <v>7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3"/>
      <sheetName val="T2"/>
      <sheetName val="T1"/>
      <sheetName val="DF"/>
    </sheetNames>
    <sheetDataSet>
      <sheetData sheetId="0" refreshError="1"/>
      <sheetData sheetId="1">
        <row r="19">
          <cell r="G19">
            <v>26</v>
          </cell>
        </row>
        <row r="26">
          <cell r="G26">
            <v>143.5</v>
          </cell>
        </row>
      </sheetData>
      <sheetData sheetId="2">
        <row r="19">
          <cell r="G19">
            <v>44</v>
          </cell>
        </row>
        <row r="24">
          <cell r="G24">
            <v>114</v>
          </cell>
        </row>
      </sheetData>
      <sheetData sheetId="3">
        <row r="19">
          <cell r="G19">
            <v>29</v>
          </cell>
        </row>
        <row r="25">
          <cell r="G25">
            <v>112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2"/>
      <sheetName val="T1"/>
      <sheetName val="DF"/>
    </sheetNames>
    <sheetDataSet>
      <sheetData sheetId="0" refreshError="1"/>
      <sheetData sheetId="1">
        <row r="18">
          <cell r="G18">
            <v>13</v>
          </cell>
        </row>
        <row r="23">
          <cell r="G23">
            <v>75.5</v>
          </cell>
        </row>
      </sheetData>
      <sheetData sheetId="2">
        <row r="22">
          <cell r="G22">
            <v>37</v>
          </cell>
        </row>
        <row r="31">
          <cell r="G31">
            <v>1257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3"/>
      <sheetName val="T2"/>
      <sheetName val="T1"/>
      <sheetName val="DF"/>
    </sheetNames>
    <sheetDataSet>
      <sheetData sheetId="0" refreshError="1"/>
      <sheetData sheetId="1">
        <row r="21">
          <cell r="G21">
            <v>8</v>
          </cell>
        </row>
        <row r="34">
          <cell r="G34">
            <v>360</v>
          </cell>
        </row>
      </sheetData>
      <sheetData sheetId="2">
        <row r="20">
          <cell r="G20">
            <v>2</v>
          </cell>
        </row>
        <row r="25">
          <cell r="G25">
            <v>46</v>
          </cell>
        </row>
      </sheetData>
      <sheetData sheetId="3">
        <row r="19">
          <cell r="G19">
            <v>1</v>
          </cell>
        </row>
        <row r="24">
          <cell r="G24">
            <v>32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4"/>
      <sheetName val="T3"/>
      <sheetName val="T2"/>
      <sheetName val="T1"/>
      <sheetName val="DF"/>
    </sheetNames>
    <sheetDataSet>
      <sheetData sheetId="0" refreshError="1"/>
      <sheetData sheetId="1">
        <row r="17">
          <cell r="G17">
            <v>0</v>
          </cell>
        </row>
        <row r="28">
          <cell r="G28">
            <v>69</v>
          </cell>
        </row>
      </sheetData>
      <sheetData sheetId="2">
        <row r="20">
          <cell r="G20">
            <v>4</v>
          </cell>
        </row>
        <row r="26">
          <cell r="G26">
            <v>82</v>
          </cell>
        </row>
      </sheetData>
      <sheetData sheetId="3">
        <row r="19">
          <cell r="G19">
            <v>1</v>
          </cell>
        </row>
        <row r="25">
          <cell r="G25">
            <v>35</v>
          </cell>
        </row>
      </sheetData>
      <sheetData sheetId="4">
        <row r="20">
          <cell r="G20">
            <v>2</v>
          </cell>
        </row>
        <row r="23">
          <cell r="G23">
            <v>13</v>
          </cell>
        </row>
      </sheetData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3"/>
      <sheetName val="T2"/>
      <sheetName val="T1"/>
      <sheetName val="DF"/>
    </sheetNames>
    <sheetDataSet>
      <sheetData sheetId="0" refreshError="1"/>
      <sheetData sheetId="1">
        <row r="18">
          <cell r="G18">
            <v>1</v>
          </cell>
        </row>
        <row r="26">
          <cell r="G26">
            <v>43</v>
          </cell>
        </row>
      </sheetData>
      <sheetData sheetId="2">
        <row r="18">
          <cell r="G18">
            <v>2</v>
          </cell>
        </row>
        <row r="21">
          <cell r="G21">
            <v>133</v>
          </cell>
        </row>
      </sheetData>
      <sheetData sheetId="3">
        <row r="21">
          <cell r="G21">
            <v>6</v>
          </cell>
        </row>
        <row r="24">
          <cell r="G24">
            <v>38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4"/>
      <sheetName val="T3"/>
      <sheetName val="T2"/>
      <sheetName val="T1"/>
      <sheetName val="DF"/>
    </sheetNames>
    <sheetDataSet>
      <sheetData sheetId="0" refreshError="1"/>
      <sheetData sheetId="1">
        <row r="18">
          <cell r="G18">
            <v>1</v>
          </cell>
        </row>
        <row r="24">
          <cell r="G24">
            <v>50</v>
          </cell>
        </row>
      </sheetData>
      <sheetData sheetId="2">
        <row r="20">
          <cell r="G20">
            <v>4</v>
          </cell>
        </row>
        <row r="24">
          <cell r="G24">
            <v>50</v>
          </cell>
        </row>
      </sheetData>
      <sheetData sheetId="3">
        <row r="19">
          <cell r="G19">
            <v>2</v>
          </cell>
        </row>
        <row r="28">
          <cell r="G28">
            <v>77</v>
          </cell>
        </row>
      </sheetData>
      <sheetData sheetId="4">
        <row r="30">
          <cell r="G30">
            <v>12</v>
          </cell>
        </row>
        <row r="34">
          <cell r="G34">
            <v>19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3"/>
      <sheetName val="T2"/>
      <sheetName val="T1"/>
      <sheetName val="DF"/>
    </sheetNames>
    <sheetDataSet>
      <sheetData sheetId="0" refreshError="1"/>
      <sheetData sheetId="1">
        <row r="18">
          <cell r="G18">
            <v>1</v>
          </cell>
        </row>
        <row r="31">
          <cell r="G31">
            <v>34</v>
          </cell>
        </row>
      </sheetData>
      <sheetData sheetId="2">
        <row r="19">
          <cell r="G19">
            <v>2.5</v>
          </cell>
        </row>
        <row r="31">
          <cell r="G31">
            <v>34</v>
          </cell>
        </row>
      </sheetData>
      <sheetData sheetId="3">
        <row r="18">
          <cell r="G18">
            <v>1</v>
          </cell>
        </row>
        <row r="31">
          <cell r="G31">
            <v>34</v>
          </cell>
        </row>
      </sheetData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4"/>
      <sheetName val="T3"/>
      <sheetName val="T2"/>
      <sheetName val="T1"/>
      <sheetName val="DF"/>
    </sheetNames>
    <sheetDataSet>
      <sheetData sheetId="0" refreshError="1"/>
      <sheetData sheetId="1">
        <row r="19">
          <cell r="G19">
            <v>3</v>
          </cell>
        </row>
        <row r="23">
          <cell r="G23">
            <v>46</v>
          </cell>
        </row>
      </sheetData>
      <sheetData sheetId="2">
        <row r="18">
          <cell r="G18">
            <v>1.5</v>
          </cell>
        </row>
        <row r="23">
          <cell r="G23">
            <v>71</v>
          </cell>
        </row>
      </sheetData>
      <sheetData sheetId="3">
        <row r="20">
          <cell r="G20">
            <v>5.5</v>
          </cell>
        </row>
        <row r="27">
          <cell r="G27">
            <v>61</v>
          </cell>
        </row>
      </sheetData>
      <sheetData sheetId="4">
        <row r="18">
          <cell r="G18">
            <v>1</v>
          </cell>
        </row>
        <row r="26">
          <cell r="G26">
            <v>149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ulrich@lbl.gov" TargetMode="External"/><Relationship Id="rId2" Type="http://schemas.openxmlformats.org/officeDocument/2006/relationships/hyperlink" Target="mailto:tjkneafsey@lbl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topLeftCell="R2" zoomScale="125" zoomScaleNormal="125" zoomScalePageLayoutView="125" workbookViewId="0">
      <pane xSplit="6960" ySplit="2600" activePane="bottomRight"/>
      <selection activeCell="B2" sqref="B2"/>
      <selection pane="topRight" activeCell="F2" sqref="F2"/>
      <selection pane="bottomLeft" activeCell="T29" sqref="T29"/>
      <selection pane="bottomRight" activeCell="C12" sqref="C12"/>
    </sheetView>
  </sheetViews>
  <sheetFormatPr baseColWidth="10" defaultRowHeight="15" x14ac:dyDescent="0"/>
  <cols>
    <col min="1" max="1" width="10.83203125" style="7"/>
    <col min="2" max="2" width="22.5" style="3" customWidth="1"/>
    <col min="3" max="3" width="10.5" style="3" customWidth="1"/>
    <col min="4" max="4" width="3.33203125" style="3" customWidth="1"/>
    <col min="5" max="5" width="5.5" style="3" customWidth="1"/>
    <col min="6" max="9" width="10.83203125" style="3"/>
    <col min="10" max="11" width="12.1640625" style="8" bestFit="1" customWidth="1"/>
    <col min="12" max="12" width="10.83203125" style="12"/>
    <col min="13" max="30" width="10.83203125" style="3"/>
    <col min="31" max="31" width="10.83203125" style="16"/>
    <col min="32" max="16384" width="10.83203125" style="3"/>
  </cols>
  <sheetData>
    <row r="1" spans="1:34">
      <c r="A1" s="20"/>
    </row>
    <row r="2" spans="1:34" s="2" customFormat="1" ht="90">
      <c r="A2" s="1" t="s">
        <v>37</v>
      </c>
      <c r="B2" s="2" t="s">
        <v>0</v>
      </c>
      <c r="C2" s="67" t="s">
        <v>43</v>
      </c>
      <c r="D2" s="67"/>
      <c r="E2" s="67"/>
      <c r="F2" s="2" t="s">
        <v>1</v>
      </c>
      <c r="G2" s="9" t="s">
        <v>46</v>
      </c>
      <c r="H2" s="2" t="s">
        <v>47</v>
      </c>
      <c r="I2" s="2" t="s">
        <v>2</v>
      </c>
      <c r="J2" s="9" t="s">
        <v>44</v>
      </c>
      <c r="K2" s="9" t="s">
        <v>45</v>
      </c>
      <c r="L2" s="11" t="s">
        <v>48</v>
      </c>
      <c r="M2" s="2" t="s">
        <v>3</v>
      </c>
      <c r="N2" s="2" t="s">
        <v>4</v>
      </c>
      <c r="O2" s="2" t="s">
        <v>5</v>
      </c>
      <c r="P2" s="2" t="s">
        <v>6</v>
      </c>
      <c r="Q2" s="2" t="s">
        <v>7</v>
      </c>
      <c r="R2" s="2" t="s">
        <v>8</v>
      </c>
      <c r="S2" s="2" t="s">
        <v>9</v>
      </c>
      <c r="T2" s="2" t="s">
        <v>10</v>
      </c>
      <c r="U2" s="2" t="s">
        <v>11</v>
      </c>
      <c r="V2" s="2" t="s">
        <v>12</v>
      </c>
      <c r="W2" s="2" t="s">
        <v>13</v>
      </c>
      <c r="X2" s="2" t="s">
        <v>14</v>
      </c>
      <c r="Y2" s="2" t="s">
        <v>15</v>
      </c>
      <c r="Z2" s="2" t="s">
        <v>16</v>
      </c>
      <c r="AA2" s="2" t="s">
        <v>17</v>
      </c>
      <c r="AB2" s="2" t="s">
        <v>18</v>
      </c>
      <c r="AC2" s="2" t="s">
        <v>49</v>
      </c>
      <c r="AD2" s="2" t="s">
        <v>53</v>
      </c>
      <c r="AE2" s="18" t="s">
        <v>50</v>
      </c>
      <c r="AF2" s="18" t="s">
        <v>51</v>
      </c>
      <c r="AG2" s="2" t="s">
        <v>52</v>
      </c>
    </row>
    <row r="3" spans="1:34">
      <c r="A3" s="68" t="s">
        <v>38</v>
      </c>
      <c r="B3" s="3" t="s">
        <v>19</v>
      </c>
      <c r="C3" s="3">
        <v>5.5</v>
      </c>
      <c r="D3" s="3" t="s">
        <v>24</v>
      </c>
      <c r="E3" s="3">
        <v>13</v>
      </c>
      <c r="F3" s="3" t="s">
        <v>20</v>
      </c>
      <c r="G3" s="8"/>
      <c r="M3" s="3">
        <v>47.6147636559703</v>
      </c>
      <c r="N3" s="3">
        <v>47.6147636559703</v>
      </c>
      <c r="Y3" s="3">
        <v>-0.23099999999999987</v>
      </c>
      <c r="Z3" s="3">
        <v>-0.53900000000000059</v>
      </c>
      <c r="AC3" s="3">
        <v>7.15</v>
      </c>
      <c r="AD3" s="3">
        <f>E3-C3+Z3</f>
        <v>6.9609999999999994</v>
      </c>
      <c r="AE3" s="16">
        <f>0.4*(E3-C3+Z3)*AC3^2*PI()/4</f>
        <v>111.79788562851166</v>
      </c>
      <c r="AF3" s="16"/>
    </row>
    <row r="4" spans="1:34">
      <c r="A4" s="68"/>
      <c r="F4" s="3">
        <v>1</v>
      </c>
      <c r="G4" s="8">
        <v>1.5242137197846384E-6</v>
      </c>
      <c r="J4" s="8">
        <f>AVERAGE(G4:G6)</f>
        <v>1.2444644077743375E-6</v>
      </c>
      <c r="K4" s="8">
        <f>STDEV(G4:G6)</f>
        <v>2.4248932581452841E-7</v>
      </c>
      <c r="L4" s="12">
        <f>K4/J4</f>
        <v>0.19485436811182771</v>
      </c>
      <c r="M4" s="3">
        <v>0.98174770424681046</v>
      </c>
      <c r="N4" s="3">
        <v>48.596511360217107</v>
      </c>
      <c r="O4" s="3">
        <v>73</v>
      </c>
      <c r="P4" s="3">
        <v>18.744915519712151</v>
      </c>
      <c r="Q4" s="3">
        <v>190.2527070098738</v>
      </c>
      <c r="R4" s="3">
        <v>171.50779149016165</v>
      </c>
      <c r="S4" s="3">
        <v>59.69</v>
      </c>
      <c r="T4" s="3">
        <v>3.7</v>
      </c>
      <c r="U4" s="3">
        <v>2.7068727563710655</v>
      </c>
      <c r="V4" s="3">
        <v>0.84925590477618562</v>
      </c>
      <c r="W4" s="3">
        <v>0.99312724362893468</v>
      </c>
      <c r="X4" s="3">
        <v>2.8507440952238143</v>
      </c>
      <c r="AA4" s="3">
        <v>23.3</v>
      </c>
      <c r="AB4" s="3">
        <v>5.3000000000000007</v>
      </c>
      <c r="AF4" s="16">
        <f>AB4/AE$3</f>
        <v>4.7406978854780318E-2</v>
      </c>
      <c r="AG4" s="3">
        <f>+[1]T1!$G$27-[1]T1!$G$20</f>
        <v>73</v>
      </c>
    </row>
    <row r="5" spans="1:34">
      <c r="A5" s="68"/>
      <c r="F5" s="3">
        <v>2</v>
      </c>
      <c r="G5" s="8">
        <v>1.1149006661955107E-6</v>
      </c>
      <c r="H5" s="3">
        <v>-31.018970285148267</v>
      </c>
      <c r="I5" s="3" t="s">
        <v>21</v>
      </c>
      <c r="M5" s="3">
        <v>0.49087385212340523</v>
      </c>
      <c r="N5" s="3">
        <v>49.087385212340514</v>
      </c>
      <c r="O5" s="3">
        <v>64</v>
      </c>
      <c r="P5" s="3">
        <v>12.378717796036312</v>
      </c>
      <c r="Q5" s="3">
        <v>189.72219053290081</v>
      </c>
      <c r="R5" s="3">
        <v>177.3434727368645</v>
      </c>
      <c r="S5" s="3">
        <v>59.69</v>
      </c>
      <c r="T5" s="3">
        <v>3.7</v>
      </c>
      <c r="U5" s="3">
        <v>2.6993246871693506</v>
      </c>
      <c r="V5" s="3">
        <v>0.84925590477618562</v>
      </c>
      <c r="W5" s="3">
        <v>1.0006753128306496</v>
      </c>
      <c r="X5" s="3">
        <v>2.8507440952238143</v>
      </c>
      <c r="AA5" s="3">
        <v>22.8</v>
      </c>
      <c r="AB5" s="3">
        <v>3.5</v>
      </c>
      <c r="AF5" s="16">
        <f t="shared" ref="AF5:AF6" si="0">AB5/AE$3</f>
        <v>3.1306495470137939E-2</v>
      </c>
      <c r="AG5" s="3">
        <f>+[1]T2!$G$25-[1]T2!$G$21</f>
        <v>64</v>
      </c>
    </row>
    <row r="6" spans="1:34">
      <c r="A6" s="68"/>
      <c r="F6" s="3">
        <v>3</v>
      </c>
      <c r="G6" s="8">
        <v>1.0942788373428633E-6</v>
      </c>
      <c r="H6" s="3">
        <v>-1.866921978917331</v>
      </c>
      <c r="I6" s="3" t="s">
        <v>22</v>
      </c>
      <c r="M6" s="3">
        <v>0.98174770424681046</v>
      </c>
      <c r="N6" s="3">
        <v>50.069132916587321</v>
      </c>
      <c r="O6" s="3">
        <v>68</v>
      </c>
      <c r="P6" s="3">
        <v>12.909234273009275</v>
      </c>
      <c r="Q6" s="3">
        <v>190.42954583553143</v>
      </c>
      <c r="R6" s="3">
        <v>177.52031156252215</v>
      </c>
      <c r="S6" s="3">
        <v>59.69</v>
      </c>
      <c r="T6" s="3">
        <v>3.7</v>
      </c>
      <c r="U6" s="3">
        <v>2.7093887794383038</v>
      </c>
      <c r="V6" s="3">
        <v>0.84925590477618562</v>
      </c>
      <c r="W6" s="3">
        <v>0.99061122056169637</v>
      </c>
      <c r="X6" s="3">
        <v>2.8507440952238143</v>
      </c>
      <c r="AA6" s="3">
        <v>21.9</v>
      </c>
      <c r="AB6" s="3">
        <v>3.65</v>
      </c>
      <c r="AF6" s="16">
        <f t="shared" si="0"/>
        <v>3.2648202418858137E-2</v>
      </c>
      <c r="AG6" s="3">
        <f>+[1]T3!$G$26-[1]T3!$G$21</f>
        <v>68</v>
      </c>
    </row>
    <row r="7" spans="1:34" s="4" customFormat="1">
      <c r="A7" s="68"/>
      <c r="G7" s="10"/>
      <c r="J7" s="10"/>
      <c r="K7" s="10"/>
      <c r="L7" s="13"/>
      <c r="AE7" s="19"/>
      <c r="AF7" s="19"/>
    </row>
    <row r="8" spans="1:34">
      <c r="A8" s="68"/>
      <c r="B8" s="3" t="s">
        <v>23</v>
      </c>
      <c r="C8" s="3">
        <v>13</v>
      </c>
      <c r="D8" s="3" t="s">
        <v>24</v>
      </c>
      <c r="E8" s="3">
        <v>24</v>
      </c>
      <c r="F8" s="3" t="s">
        <v>20</v>
      </c>
      <c r="G8" s="8"/>
      <c r="M8" s="3">
        <v>9.8174770424681039</v>
      </c>
      <c r="N8" s="3">
        <v>9.8174770424681039</v>
      </c>
      <c r="Y8" s="3">
        <v>-8.5499999999999687E-2</v>
      </c>
      <c r="Z8" s="3">
        <v>-0.29199999999999626</v>
      </c>
      <c r="AC8" s="3">
        <v>6.4175000000000004</v>
      </c>
      <c r="AD8" s="3">
        <f>E8-C8+Z8</f>
        <v>10.708000000000004</v>
      </c>
      <c r="AE8" s="16">
        <f>0.4*(E8-C8+Z8)*AC8^2*PI()/4</f>
        <v>138.54472338643228</v>
      </c>
      <c r="AF8" s="16"/>
    </row>
    <row r="9" spans="1:34">
      <c r="A9" s="68"/>
      <c r="F9" s="3">
        <v>1</v>
      </c>
      <c r="G9" s="8">
        <v>1.4818414161119426E-5</v>
      </c>
      <c r="J9" s="8">
        <f>AVERAGE(G9:G11)</f>
        <v>1.4091080255961407E-5</v>
      </c>
      <c r="K9" s="8">
        <f>STDEV(G9:G11)</f>
        <v>1.4371537017434991E-6</v>
      </c>
      <c r="L9" s="12">
        <f>K9/J9</f>
        <v>0.10199031413049353</v>
      </c>
      <c r="M9" s="3">
        <v>1.4726215563702156</v>
      </c>
      <c r="N9" s="3">
        <v>11.29009859883832</v>
      </c>
      <c r="O9" s="3">
        <v>83</v>
      </c>
      <c r="P9" s="3">
        <v>4.0417635272640773</v>
      </c>
      <c r="Q9" s="3">
        <v>95.014338677275973</v>
      </c>
      <c r="R9" s="3">
        <v>90.972575150011892</v>
      </c>
      <c r="S9" s="3">
        <v>59.69</v>
      </c>
      <c r="T9" s="3">
        <v>2.2999999999999998</v>
      </c>
      <c r="U9" s="3">
        <v>1.3518426563927111</v>
      </c>
      <c r="V9" s="3">
        <v>0.84925590477618562</v>
      </c>
      <c r="W9" s="3">
        <v>0.94815734360728876</v>
      </c>
      <c r="X9" s="3">
        <v>1.4507440952238142</v>
      </c>
      <c r="AA9" s="3">
        <v>30.2</v>
      </c>
      <c r="AB9" s="3">
        <v>8</v>
      </c>
      <c r="AF9" s="16">
        <f>AB9/AE$8</f>
        <v>5.7743086885281132E-2</v>
      </c>
      <c r="AG9" s="3">
        <f>+[2]T1!$G$25-[2]T1!$G$19</f>
        <v>83</v>
      </c>
    </row>
    <row r="10" spans="1:34">
      <c r="A10" s="68"/>
      <c r="F10" s="3">
        <v>2</v>
      </c>
      <c r="G10" s="8">
        <v>1.2435651016720979E-5</v>
      </c>
      <c r="H10" s="3">
        <v>-17.485561356445363</v>
      </c>
      <c r="I10" s="3" t="s">
        <v>21</v>
      </c>
      <c r="M10" s="3">
        <v>0</v>
      </c>
      <c r="N10" s="3">
        <v>11.29009859883832</v>
      </c>
      <c r="O10" s="3">
        <v>70</v>
      </c>
      <c r="P10" s="3">
        <v>2.6524073147670535</v>
      </c>
      <c r="Q10" s="3">
        <v>94.888033567048979</v>
      </c>
      <c r="R10" s="3">
        <v>92.235626252281918</v>
      </c>
      <c r="S10" s="3">
        <v>59.69</v>
      </c>
      <c r="T10" s="3">
        <v>2.2999999999999998</v>
      </c>
      <c r="U10" s="3">
        <v>1.3500456156712555</v>
      </c>
      <c r="V10" s="3">
        <v>0.84925590477618562</v>
      </c>
      <c r="W10" s="3">
        <v>0.94995438432874435</v>
      </c>
      <c r="X10" s="3">
        <v>1.4507440952238142</v>
      </c>
      <c r="AA10" s="3" t="s">
        <v>24</v>
      </c>
      <c r="AB10" s="3">
        <v>5.25</v>
      </c>
      <c r="AF10" s="16">
        <f t="shared" ref="AF10:AF11" si="1">AB10/AE$8</f>
        <v>3.7893900768465744E-2</v>
      </c>
      <c r="AG10" s="3">
        <f>+[2]T2!$G$24-[2]T2!$G$19</f>
        <v>70</v>
      </c>
    </row>
    <row r="11" spans="1:34">
      <c r="A11" s="68"/>
      <c r="F11" s="3">
        <v>3</v>
      </c>
      <c r="G11" s="8">
        <v>1.501917559004381E-5</v>
      </c>
      <c r="H11" s="3">
        <v>18.820184955648262</v>
      </c>
      <c r="I11" s="3" t="s">
        <v>21</v>
      </c>
      <c r="M11" s="3">
        <v>0.49087385212340523</v>
      </c>
      <c r="N11" s="3">
        <v>11.780972450961725</v>
      </c>
      <c r="O11" s="3">
        <v>117.5</v>
      </c>
      <c r="P11" s="3">
        <v>4.5469839681720927</v>
      </c>
      <c r="Q11" s="3">
        <v>94.888033567048979</v>
      </c>
      <c r="R11" s="3">
        <v>90.341049598876879</v>
      </c>
      <c r="S11" s="3">
        <v>59.69</v>
      </c>
      <c r="T11" s="3">
        <v>2.2999999999999998</v>
      </c>
      <c r="U11" s="3">
        <v>1.3500456156712555</v>
      </c>
      <c r="V11" s="3">
        <v>0.84925590477618562</v>
      </c>
      <c r="W11" s="3">
        <v>0.94995438432874435</v>
      </c>
      <c r="X11" s="3">
        <v>1.4507440952238142</v>
      </c>
      <c r="AA11" s="3" t="s">
        <v>24</v>
      </c>
      <c r="AB11" s="3">
        <v>9</v>
      </c>
      <c r="AF11" s="16">
        <f t="shared" si="1"/>
        <v>6.4960972745941273E-2</v>
      </c>
      <c r="AG11" s="3">
        <f>+[2]T3!$G$26-[2]T3!$G$19</f>
        <v>117.5</v>
      </c>
    </row>
    <row r="12" spans="1:34" s="4" customFormat="1">
      <c r="A12" s="68"/>
      <c r="G12" s="10"/>
      <c r="J12" s="10"/>
      <c r="K12" s="10"/>
      <c r="L12" s="13"/>
      <c r="AE12" s="19"/>
      <c r="AF12" s="19"/>
    </row>
    <row r="13" spans="1:34">
      <c r="A13" s="68"/>
      <c r="B13" s="3" t="s">
        <v>26</v>
      </c>
      <c r="C13" s="3">
        <v>46</v>
      </c>
      <c r="D13" s="3" t="s">
        <v>24</v>
      </c>
      <c r="E13" s="3">
        <v>56</v>
      </c>
      <c r="F13" s="3" t="s">
        <v>20</v>
      </c>
      <c r="G13" s="8"/>
      <c r="M13" s="3">
        <v>3.9269908169872418</v>
      </c>
      <c r="N13" s="3">
        <v>3.9269908169872418</v>
      </c>
      <c r="Y13" s="3">
        <v>-1.4850000000000003</v>
      </c>
      <c r="Z13" s="3">
        <v>-1.2970000000000006</v>
      </c>
      <c r="AC13" s="3">
        <v>6.21</v>
      </c>
      <c r="AD13" s="3">
        <f>E13-C13+Z13</f>
        <v>8.7029999999999994</v>
      </c>
      <c r="AE13" s="16">
        <f>0.4*(E13-C13+Z13)*AC13^2*PI()/4</f>
        <v>105.43918893747853</v>
      </c>
      <c r="AF13" s="16"/>
    </row>
    <row r="14" spans="1:34">
      <c r="A14" s="68"/>
      <c r="F14" s="3">
        <v>1</v>
      </c>
      <c r="G14" s="8">
        <v>2.9359961357186191E-7</v>
      </c>
      <c r="J14" s="8">
        <f>AVERAGE(G14:G16)</f>
        <v>3.0745495368164345E-7</v>
      </c>
      <c r="K14" s="8">
        <f>STDEV(G14:G16)</f>
        <v>1.9594409894544975E-8</v>
      </c>
      <c r="L14" s="12">
        <f>K14/J14</f>
        <v>6.3730994280333353E-2</v>
      </c>
      <c r="M14" s="3">
        <v>1.4726215563702156</v>
      </c>
      <c r="N14" s="3">
        <v>5.3996123733574573</v>
      </c>
      <c r="O14" s="3">
        <v>1220</v>
      </c>
      <c r="P14" s="3">
        <v>28.112789394738741</v>
      </c>
      <c r="Q14" s="3">
        <v>180.19528939473872</v>
      </c>
      <c r="R14" s="3">
        <v>152.08249999999998</v>
      </c>
      <c r="S14" s="3">
        <v>59.69</v>
      </c>
      <c r="T14" s="3">
        <v>3.5</v>
      </c>
      <c r="U14" s="3">
        <v>2.5637780789300622</v>
      </c>
      <c r="V14" s="3">
        <v>0.84925590477618562</v>
      </c>
      <c r="W14" s="3">
        <v>0.93622192106993785</v>
      </c>
      <c r="X14" s="3">
        <v>2.6507440952238142</v>
      </c>
      <c r="AA14" s="3">
        <v>23.4</v>
      </c>
      <c r="AB14" s="3">
        <v>8.1487039370985332</v>
      </c>
      <c r="AF14" s="16">
        <f>AB14/AE$13</f>
        <v>7.7283446688217683E-2</v>
      </c>
      <c r="AG14" s="16">
        <f>+[3]T1!$G$31-[3]T1!$G$22</f>
        <v>1220</v>
      </c>
    </row>
    <row r="15" spans="1:34">
      <c r="A15" s="68"/>
      <c r="F15" s="3">
        <v>2</v>
      </c>
      <c r="G15" s="8">
        <v>3.2131029379142498E-7</v>
      </c>
      <c r="H15" s="3">
        <v>-35.713098410981218</v>
      </c>
      <c r="I15" s="3" t="s">
        <v>21</v>
      </c>
      <c r="M15" s="3">
        <v>0.98174770424681046</v>
      </c>
      <c r="N15" s="3">
        <v>6.3813600776042678</v>
      </c>
      <c r="O15" s="3">
        <v>147.5</v>
      </c>
      <c r="P15" s="3">
        <v>3.8904541644685651</v>
      </c>
      <c r="Q15" s="3">
        <v>240.3475</v>
      </c>
      <c r="R15" s="3">
        <v>236.45704583553143</v>
      </c>
      <c r="S15" s="3">
        <v>59.69</v>
      </c>
      <c r="T15" s="3">
        <v>3.6</v>
      </c>
      <c r="U15" s="3">
        <v>3.4196102123168743</v>
      </c>
      <c r="V15" s="3">
        <v>0.84925590477618562</v>
      </c>
      <c r="W15" s="3">
        <v>0.18038978768312575</v>
      </c>
      <c r="X15" s="3">
        <v>2.7507440952238147</v>
      </c>
      <c r="AA15" s="3" t="s">
        <v>24</v>
      </c>
      <c r="AB15" s="3">
        <v>1.5</v>
      </c>
      <c r="AF15" s="16">
        <f>AB15/AE$13</f>
        <v>1.4226209582183371E-2</v>
      </c>
      <c r="AG15" s="3">
        <f>+[3]T2!$G$23-[3]T2!$G$18</f>
        <v>62.5</v>
      </c>
      <c r="AH15" s="15" t="s">
        <v>42</v>
      </c>
    </row>
    <row r="16" spans="1:34" s="4" customFormat="1">
      <c r="A16" s="68"/>
      <c r="G16" s="10"/>
      <c r="J16" s="10"/>
      <c r="K16" s="10"/>
      <c r="L16" s="13"/>
      <c r="AE16" s="19"/>
      <c r="AF16" s="19"/>
    </row>
    <row r="17" spans="1:33">
      <c r="A17" s="68" t="s">
        <v>39</v>
      </c>
      <c r="B17" s="3" t="s">
        <v>32</v>
      </c>
      <c r="C17" s="17">
        <v>28</v>
      </c>
      <c r="D17" s="3" t="s">
        <v>24</v>
      </c>
      <c r="E17" s="17">
        <v>37</v>
      </c>
      <c r="F17" s="3" t="s">
        <v>20</v>
      </c>
      <c r="G17" s="8"/>
      <c r="M17" s="6">
        <v>2.454369260617026</v>
      </c>
      <c r="N17" s="3">
        <v>2.454369260617026</v>
      </c>
      <c r="Y17" s="3">
        <v>0.10999999999999943</v>
      </c>
      <c r="Z17" s="3">
        <v>-1.83</v>
      </c>
      <c r="AC17" s="3">
        <v>4.5599999999999996</v>
      </c>
      <c r="AD17" s="3">
        <f>E17-C17+Z17</f>
        <v>7.17</v>
      </c>
      <c r="AE17" s="16">
        <f>0.4*(E17-C17+Z17)*AC17^2*PI()/4</f>
        <v>46.838040058207945</v>
      </c>
      <c r="AF17" s="16"/>
    </row>
    <row r="18" spans="1:33">
      <c r="A18" s="68"/>
      <c r="F18" s="3">
        <v>1</v>
      </c>
      <c r="G18" s="8">
        <v>6.3495145488574219E-5</v>
      </c>
      <c r="J18" s="8">
        <f>AVERAGE(G18:G20)</f>
        <v>5.1375743808458316E-5</v>
      </c>
      <c r="K18" s="8">
        <f>STDEV(G18:G20)</f>
        <v>1.626465080881392E-5</v>
      </c>
      <c r="L18" s="12">
        <f>K18/J18</f>
        <v>0.31658229357131307</v>
      </c>
      <c r="M18" s="6">
        <v>0</v>
      </c>
      <c r="N18" s="3">
        <v>2.454369260617026</v>
      </c>
      <c r="O18" s="3">
        <v>31</v>
      </c>
      <c r="P18" s="3">
        <v>14.651392786332281</v>
      </c>
      <c r="Q18" s="3">
        <v>135.58639779545996</v>
      </c>
      <c r="R18" s="3">
        <v>120.93500500912768</v>
      </c>
      <c r="S18" s="3">
        <v>59.69</v>
      </c>
      <c r="T18" s="3">
        <v>2.9</v>
      </c>
      <c r="U18" s="3">
        <v>1.9290927950264221</v>
      </c>
      <c r="V18" s="3">
        <v>0.84925590477618562</v>
      </c>
      <c r="W18" s="3">
        <v>0.97090720497357785</v>
      </c>
      <c r="X18" s="3">
        <v>2.0507440952238145</v>
      </c>
      <c r="AA18" s="3" t="s">
        <v>24</v>
      </c>
      <c r="AB18" s="3">
        <v>29</v>
      </c>
      <c r="AF18" s="16">
        <f>AB18/AE$17</f>
        <v>0.61915485711956064</v>
      </c>
      <c r="AG18" s="3">
        <f>+[4]T1!$G$24-[4]T1!$G$19</f>
        <v>31</v>
      </c>
    </row>
    <row r="19" spans="1:33">
      <c r="A19" s="68"/>
      <c r="F19" s="3">
        <v>2</v>
      </c>
      <c r="G19" s="8">
        <v>5.7740975286914393E-5</v>
      </c>
      <c r="H19" s="3">
        <v>-9.4925013516651529</v>
      </c>
      <c r="I19" s="3" t="s">
        <v>21</v>
      </c>
      <c r="M19" s="6">
        <v>0</v>
      </c>
      <c r="N19" s="3">
        <v>2.454369260617026</v>
      </c>
      <c r="O19" s="3">
        <v>44</v>
      </c>
      <c r="P19" s="3">
        <v>18.187935872688357</v>
      </c>
      <c r="Q19" s="3">
        <v>136.59683867727597</v>
      </c>
      <c r="R19" s="3">
        <v>118.40890280458761</v>
      </c>
      <c r="S19" s="3">
        <v>59.69</v>
      </c>
      <c r="T19" s="3">
        <v>2.9</v>
      </c>
      <c r="U19" s="3">
        <v>1.9434691207980674</v>
      </c>
      <c r="V19" s="3">
        <v>0.84925590477618562</v>
      </c>
      <c r="W19" s="3">
        <v>0.95653087920193247</v>
      </c>
      <c r="X19" s="3">
        <v>2.0507440952238145</v>
      </c>
      <c r="AA19" s="3" t="s">
        <v>24</v>
      </c>
      <c r="AB19" s="3">
        <v>36</v>
      </c>
      <c r="AF19" s="16">
        <f t="shared" ref="AF19:AF20" si="2">AB19/AE$17</f>
        <v>0.76860602952773049</v>
      </c>
      <c r="AG19" s="3">
        <f>+[4]T2!$G$25-[4]T2!$G$20</f>
        <v>44</v>
      </c>
    </row>
    <row r="20" spans="1:33">
      <c r="A20" s="68"/>
      <c r="F20" s="3">
        <v>3</v>
      </c>
      <c r="G20" s="8">
        <v>3.2891110649886349E-5</v>
      </c>
      <c r="H20" s="3">
        <v>-54.836792908763599</v>
      </c>
      <c r="I20" s="3" t="s">
        <v>22</v>
      </c>
      <c r="M20" s="6">
        <v>0.24543692606170261</v>
      </c>
      <c r="N20" s="3">
        <v>2.6998061866787286</v>
      </c>
      <c r="O20" s="3">
        <v>352</v>
      </c>
      <c r="P20" s="3">
        <v>10.700000000000017</v>
      </c>
      <c r="Q20" s="3">
        <v>135.3725</v>
      </c>
      <c r="R20" s="3">
        <v>124.67249999999999</v>
      </c>
      <c r="S20" s="3">
        <v>59.69</v>
      </c>
      <c r="T20" s="3">
        <v>2.9</v>
      </c>
      <c r="U20" s="3">
        <v>1.9260495052657762</v>
      </c>
      <c r="V20" s="3">
        <v>0.84925590477618562</v>
      </c>
      <c r="W20" s="3">
        <v>0.97395049473422368</v>
      </c>
      <c r="X20" s="3">
        <v>2.0507440952238145</v>
      </c>
      <c r="AA20" s="3" t="s">
        <v>24</v>
      </c>
      <c r="AB20" s="3">
        <v>170.85753234694693</v>
      </c>
      <c r="AF20" s="16">
        <f t="shared" si="2"/>
        <v>3.6478369320025741</v>
      </c>
      <c r="AG20" s="3">
        <f>+[4]T3!$G$34-[4]T3!$G$21</f>
        <v>352</v>
      </c>
    </row>
    <row r="21" spans="1:33" s="4" customFormat="1">
      <c r="A21" s="68"/>
      <c r="G21" s="10"/>
      <c r="J21" s="10"/>
      <c r="K21" s="10"/>
      <c r="L21" s="13"/>
      <c r="AE21" s="19"/>
      <c r="AF21" s="19"/>
    </row>
    <row r="22" spans="1:33">
      <c r="A22" s="68"/>
      <c r="B22" s="3" t="s">
        <v>33</v>
      </c>
      <c r="C22" s="3">
        <v>37</v>
      </c>
      <c r="D22" s="3" t="s">
        <v>24</v>
      </c>
      <c r="E22" s="3">
        <v>42</v>
      </c>
      <c r="F22" s="3" t="s">
        <v>20</v>
      </c>
      <c r="G22" s="8"/>
      <c r="M22" s="3">
        <v>1.7813934812021404</v>
      </c>
      <c r="N22" s="3">
        <v>1.7813934812021404</v>
      </c>
      <c r="Y22" s="3">
        <v>0</v>
      </c>
      <c r="Z22" s="3">
        <v>8.9999999999999858E-2</v>
      </c>
      <c r="AC22" s="3">
        <v>4.5599999999999996</v>
      </c>
      <c r="AD22" s="3">
        <f>E22-C22+Z22</f>
        <v>5.09</v>
      </c>
      <c r="AE22" s="16">
        <f>0.4*(E22-C22+Z22)*AC22^2*PI()/4</f>
        <v>33.250435689857525</v>
      </c>
      <c r="AF22" s="16"/>
    </row>
    <row r="23" spans="1:33">
      <c r="A23" s="68"/>
      <c r="F23" s="3">
        <v>1</v>
      </c>
      <c r="G23" s="8">
        <v>1.9766322383137381E-4</v>
      </c>
      <c r="J23" s="8">
        <f>AVERAGE(G23:G26)</f>
        <v>2.6543592739060784E-4</v>
      </c>
      <c r="K23" s="8">
        <f>STDEV(G23:G26)</f>
        <v>5.196732798480371E-5</v>
      </c>
      <c r="L23" s="12">
        <f>K23/J23</f>
        <v>0.19578106285638602</v>
      </c>
      <c r="M23" s="3">
        <v>0.19793260902246004</v>
      </c>
      <c r="N23" s="3">
        <v>1.9793260902246004</v>
      </c>
      <c r="O23" s="3">
        <v>11</v>
      </c>
      <c r="P23" s="3">
        <v>14.146172345424276</v>
      </c>
      <c r="Q23" s="3">
        <v>128.16106713409795</v>
      </c>
      <c r="R23" s="3">
        <v>114.01489478867367</v>
      </c>
      <c r="S23" s="3">
        <v>59.69</v>
      </c>
      <c r="T23" s="3">
        <v>2.9</v>
      </c>
      <c r="U23" s="3">
        <v>1.8234468592067314</v>
      </c>
      <c r="V23" s="3">
        <v>0.84925590477618562</v>
      </c>
      <c r="W23" s="3">
        <v>1.0765531407932685</v>
      </c>
      <c r="X23" s="3">
        <v>2.0507440952238145</v>
      </c>
      <c r="AA23" s="3" t="s">
        <v>24</v>
      </c>
      <c r="AB23" s="3">
        <v>28</v>
      </c>
      <c r="AF23" s="16">
        <f>AB23/AE$22</f>
        <v>0.84209422881459928</v>
      </c>
      <c r="AG23" s="3">
        <f>+[5]T1!$G$23-[5]T1!$G$20</f>
        <v>11</v>
      </c>
    </row>
    <row r="24" spans="1:33">
      <c r="A24" s="68"/>
      <c r="F24" s="3">
        <v>2</v>
      </c>
      <c r="G24" s="8">
        <v>3.2079350041037724E-4</v>
      </c>
      <c r="H24" s="3">
        <v>47.498767330709377</v>
      </c>
      <c r="I24" s="3" t="s">
        <v>21</v>
      </c>
      <c r="M24" s="3">
        <v>0.19793260902246004</v>
      </c>
      <c r="N24" s="3">
        <v>2.1772586992470604</v>
      </c>
      <c r="O24" s="3">
        <v>34</v>
      </c>
      <c r="P24" s="3">
        <v>9.7000000000000171</v>
      </c>
      <c r="Q24" s="3">
        <v>132.73250000000002</v>
      </c>
      <c r="R24" s="3">
        <v>123.0325</v>
      </c>
      <c r="S24" s="3">
        <v>59.69</v>
      </c>
      <c r="T24" s="3">
        <v>2.9</v>
      </c>
      <c r="U24" s="3">
        <v>1.8884881786011904</v>
      </c>
      <c r="V24" s="3">
        <v>0.84925590477618562</v>
      </c>
      <c r="W24" s="3">
        <v>1.0115118213988095</v>
      </c>
      <c r="X24" s="3">
        <v>2.0507440952238145</v>
      </c>
      <c r="AA24" s="3" t="s">
        <v>24</v>
      </c>
      <c r="AB24" s="3">
        <v>155.03034337096679</v>
      </c>
      <c r="AF24" s="16">
        <f t="shared" ref="AF24:AF26" si="3">AB24/AE$22</f>
        <v>4.6625056229941713</v>
      </c>
      <c r="AG24" s="3">
        <f>+[5]T2!$G$25-[5]T2!$G$19</f>
        <v>34</v>
      </c>
    </row>
    <row r="25" spans="1:33">
      <c r="A25" s="68"/>
      <c r="F25" s="3">
        <v>3</v>
      </c>
      <c r="G25" s="8">
        <v>2.8519232216915022E-4</v>
      </c>
      <c r="H25" s="3">
        <v>-11.749838664436691</v>
      </c>
      <c r="I25" s="3" t="s">
        <v>21</v>
      </c>
      <c r="M25" s="3">
        <v>0.19793260902246004</v>
      </c>
      <c r="N25" s="3">
        <v>2.3751913082695206</v>
      </c>
      <c r="O25" s="3">
        <v>78</v>
      </c>
      <c r="P25" s="3">
        <v>18.149999999999977</v>
      </c>
      <c r="Q25" s="3">
        <v>131.88249999999999</v>
      </c>
      <c r="R25" s="3">
        <v>113.73250000000002</v>
      </c>
      <c r="S25" s="3">
        <v>59.69</v>
      </c>
      <c r="T25" s="3">
        <v>2.9</v>
      </c>
      <c r="U25" s="3">
        <v>1.8763945696372135</v>
      </c>
      <c r="V25" s="3">
        <v>0.84925590477618562</v>
      </c>
      <c r="W25" s="3">
        <v>1.0236054303627864</v>
      </c>
      <c r="X25" s="3">
        <v>2.0507440952238145</v>
      </c>
      <c r="AA25" s="3" t="s">
        <v>24</v>
      </c>
      <c r="AB25" s="3">
        <v>290.08254970959246</v>
      </c>
      <c r="AF25" s="16">
        <f t="shared" si="3"/>
        <v>8.7241728925097117</v>
      </c>
      <c r="AG25" s="3">
        <f>+[5]T3!$G$26-[5]T3!$G$20</f>
        <v>78</v>
      </c>
    </row>
    <row r="26" spans="1:33">
      <c r="A26" s="68"/>
      <c r="F26" s="3">
        <v>4</v>
      </c>
      <c r="G26" s="8">
        <v>2.5809466315153027E-4</v>
      </c>
      <c r="H26" s="3">
        <v>-9.9754493480550757</v>
      </c>
      <c r="I26" s="3" t="s">
        <v>22</v>
      </c>
      <c r="M26" s="3">
        <v>0</v>
      </c>
      <c r="N26" s="3">
        <v>2.3751913082695206</v>
      </c>
      <c r="O26" s="3">
        <v>69</v>
      </c>
      <c r="P26" s="3">
        <v>15.400000000000006</v>
      </c>
      <c r="Q26" s="3">
        <v>133.0325</v>
      </c>
      <c r="R26" s="3">
        <v>117.63249999999999</v>
      </c>
      <c r="S26" s="3">
        <v>59.69</v>
      </c>
      <c r="T26" s="3">
        <v>2.9</v>
      </c>
      <c r="U26" s="3">
        <v>1.8927565111767111</v>
      </c>
      <c r="V26" s="3">
        <v>0.84925590477618562</v>
      </c>
      <c r="W26" s="3">
        <v>1.0072434888232888</v>
      </c>
      <c r="X26" s="3">
        <v>2.0507440952238145</v>
      </c>
      <c r="AA26" s="3" t="s">
        <v>24</v>
      </c>
      <c r="AB26" s="3">
        <v>246.13064823844212</v>
      </c>
      <c r="AF26" s="16">
        <f t="shared" si="3"/>
        <v>7.4023285148567259</v>
      </c>
      <c r="AG26" s="3">
        <f>+[5]T4!$G$28-[5]T4!$G$17</f>
        <v>69</v>
      </c>
    </row>
    <row r="27" spans="1:33" s="4" customFormat="1">
      <c r="A27" s="68"/>
      <c r="G27" s="10"/>
      <c r="J27" s="10"/>
      <c r="K27" s="10"/>
      <c r="L27" s="13"/>
      <c r="AE27" s="19"/>
      <c r="AF27" s="19"/>
    </row>
    <row r="28" spans="1:33">
      <c r="A28" s="68" t="s">
        <v>40</v>
      </c>
      <c r="B28" s="3" t="s">
        <v>34</v>
      </c>
      <c r="C28" s="3">
        <v>10</v>
      </c>
      <c r="D28" s="3" t="s">
        <v>24</v>
      </c>
      <c r="E28" s="3">
        <v>23</v>
      </c>
      <c r="F28" s="3" t="s">
        <v>20</v>
      </c>
      <c r="G28" s="8"/>
      <c r="J28" s="8">
        <f>AVERAGE(G29:G31)</f>
        <v>1.1898801556178013E-5</v>
      </c>
      <c r="K28" s="8">
        <f>STDEV(G29:G31)</f>
        <v>5.625814061285177E-6</v>
      </c>
      <c r="L28" s="12">
        <f>K28/J28</f>
        <v>0.47280510013751603</v>
      </c>
      <c r="M28" s="3">
        <v>3.4361169648638361</v>
      </c>
      <c r="N28" s="3">
        <v>3.4361169648638361</v>
      </c>
      <c r="Y28" s="3">
        <v>-0.29299999999999926</v>
      </c>
      <c r="Z28" s="3">
        <v>-0.43299999999999983</v>
      </c>
      <c r="AA28" s="3" t="s">
        <v>24</v>
      </c>
      <c r="AC28" s="3">
        <v>4.3070000000000004</v>
      </c>
      <c r="AD28" s="3">
        <f>E28-C28+Z28</f>
        <v>12.567</v>
      </c>
      <c r="AE28" s="16">
        <f>0.4*(E28-C28+Z28)*AC28^2*PI()/4</f>
        <v>73.237115559897219</v>
      </c>
      <c r="AF28" s="16"/>
    </row>
    <row r="29" spans="1:33">
      <c r="A29" s="68"/>
      <c r="F29" s="3">
        <v>1</v>
      </c>
      <c r="G29" s="8">
        <v>1.8330576660919739E-5</v>
      </c>
      <c r="M29" s="3">
        <v>8.8357293382212934</v>
      </c>
      <c r="N29" s="3">
        <v>12.27184630308513</v>
      </c>
      <c r="O29" s="3">
        <v>32</v>
      </c>
      <c r="P29" s="3">
        <v>2.6524073147670464</v>
      </c>
      <c r="Q29" s="3">
        <v>124.17494488977299</v>
      </c>
      <c r="R29" s="3">
        <v>121.52253757500594</v>
      </c>
      <c r="S29" s="3">
        <v>59.69</v>
      </c>
      <c r="T29" s="3">
        <v>1.9</v>
      </c>
      <c r="U29" s="3">
        <v>1.7667332077885263</v>
      </c>
      <c r="V29" s="3">
        <v>0.84925590477618562</v>
      </c>
      <c r="W29" s="3">
        <v>0.13326679221147364</v>
      </c>
      <c r="X29" s="3">
        <v>1.0507440952238143</v>
      </c>
      <c r="AA29" s="3" t="s">
        <v>24</v>
      </c>
      <c r="AB29" s="3">
        <v>5.25</v>
      </c>
      <c r="AF29" s="16">
        <f>AB29/AE$28</f>
        <v>7.1684964104112889E-2</v>
      </c>
      <c r="AG29" s="3">
        <f>+[6]T1!$G$24-[6]T1!$G$21</f>
        <v>32</v>
      </c>
    </row>
    <row r="30" spans="1:33">
      <c r="A30" s="68"/>
      <c r="F30" s="3">
        <v>2</v>
      </c>
      <c r="G30" s="8">
        <v>9.472841597750064E-6</v>
      </c>
      <c r="H30" s="3">
        <v>-63.71687812456377</v>
      </c>
      <c r="I30" s="3" t="s">
        <v>21</v>
      </c>
      <c r="M30" s="3">
        <v>0.73631077818510782</v>
      </c>
      <c r="N30" s="3">
        <v>13.008157081270237</v>
      </c>
      <c r="O30" s="3">
        <v>131</v>
      </c>
      <c r="P30" s="3">
        <v>5.5574248499880952</v>
      </c>
      <c r="Q30" s="3">
        <v>124.30125</v>
      </c>
      <c r="R30" s="3">
        <v>118.7438251500119</v>
      </c>
      <c r="S30" s="3">
        <v>59.69</v>
      </c>
      <c r="T30" s="3">
        <v>2.2000000000000002</v>
      </c>
      <c r="U30" s="3">
        <v>1.7685302485099819</v>
      </c>
      <c r="V30" s="3">
        <v>0.84925590477618562</v>
      </c>
      <c r="W30" s="3">
        <v>0.43146975149001832</v>
      </c>
      <c r="X30" s="3">
        <v>1.3507440952238146</v>
      </c>
      <c r="AA30" s="3" t="s">
        <v>24</v>
      </c>
      <c r="AB30" s="3">
        <v>11</v>
      </c>
      <c r="AF30" s="16">
        <f t="shared" ref="AF30:AF31" si="4">AB30/AE$28</f>
        <v>0.15019706764671273</v>
      </c>
      <c r="AG30" s="3">
        <f>+[6]T2!$G$21-[6]T2!$G$18</f>
        <v>131</v>
      </c>
    </row>
    <row r="31" spans="1:33">
      <c r="A31" s="68"/>
      <c r="F31" s="3">
        <v>3</v>
      </c>
      <c r="G31" s="8">
        <v>7.8929864098642377E-6</v>
      </c>
      <c r="H31" s="3">
        <v>-18.19498830914501</v>
      </c>
      <c r="I31" s="3" t="s">
        <v>21</v>
      </c>
      <c r="M31" s="3">
        <v>0</v>
      </c>
      <c r="N31" s="3">
        <v>13.008157081270237</v>
      </c>
      <c r="O31" s="3">
        <v>42</v>
      </c>
      <c r="P31" s="3">
        <v>11.317684842090301</v>
      </c>
      <c r="Q31" s="3">
        <v>133.11889469736934</v>
      </c>
      <c r="R31" s="3">
        <v>121.80120985527904</v>
      </c>
      <c r="S31" s="3">
        <v>59.69</v>
      </c>
      <c r="T31" s="3">
        <v>2.4</v>
      </c>
      <c r="U31" s="3">
        <v>1.8939857155138242</v>
      </c>
      <c r="V31" s="3">
        <v>0.84925590477618562</v>
      </c>
      <c r="W31" s="3">
        <v>0.50601428448617569</v>
      </c>
      <c r="X31" s="3">
        <v>1.5507440952238143</v>
      </c>
      <c r="AA31" s="3" t="s">
        <v>24</v>
      </c>
      <c r="AB31" s="3">
        <v>3.1999999999999997</v>
      </c>
      <c r="AF31" s="16">
        <f t="shared" si="4"/>
        <v>4.3693692406316424E-2</v>
      </c>
      <c r="AG31" s="3">
        <f>+[6]T3!$G$26-[6]T3!$G$18</f>
        <v>42</v>
      </c>
    </row>
    <row r="32" spans="1:33" s="4" customFormat="1">
      <c r="A32" s="68"/>
      <c r="G32" s="10"/>
      <c r="J32" s="10"/>
      <c r="K32" s="10"/>
      <c r="L32" s="13"/>
      <c r="AE32" s="19"/>
      <c r="AF32" s="19"/>
    </row>
    <row r="33" spans="1:33">
      <c r="A33" s="68"/>
      <c r="B33" s="3" t="s">
        <v>35</v>
      </c>
      <c r="C33" s="3">
        <v>23</v>
      </c>
      <c r="D33" s="3" t="s">
        <v>24</v>
      </c>
      <c r="E33" s="3">
        <v>27</v>
      </c>
      <c r="F33" s="3" t="s">
        <v>20</v>
      </c>
      <c r="G33" s="8"/>
      <c r="J33" s="8">
        <f>AVERAGE(G34:G37)</f>
        <v>6.6018308981880789E-5</v>
      </c>
      <c r="K33" s="8">
        <f>STDEV(G34:G37)</f>
        <v>6.4543233282861394E-5</v>
      </c>
      <c r="L33" s="12">
        <f>K33/J33</f>
        <v>0.97765656646212729</v>
      </c>
      <c r="M33" s="3">
        <v>4.3545173984941208</v>
      </c>
      <c r="N33" s="3">
        <v>4.3545173984941208</v>
      </c>
      <c r="Y33" s="3">
        <v>9.9999999999944578E-4</v>
      </c>
      <c r="Z33" s="3">
        <v>-0.21800000000000042</v>
      </c>
      <c r="AA33" s="3">
        <v>22.4</v>
      </c>
      <c r="AC33" s="3">
        <v>4.6059999999999999</v>
      </c>
      <c r="AD33" s="3">
        <f>E33-C33+Z33</f>
        <v>3.7819999999999996</v>
      </c>
      <c r="AE33" s="16">
        <f>0.4*(E33-C33+Z33)*AC33^2*PI()/4</f>
        <v>25.206889900262812</v>
      </c>
      <c r="AF33" s="16"/>
    </row>
    <row r="34" spans="1:33">
      <c r="A34" s="68"/>
      <c r="F34" s="3">
        <v>1</v>
      </c>
      <c r="G34" s="8">
        <v>1.6274308417146941E-4</v>
      </c>
      <c r="M34" s="3">
        <v>0</v>
      </c>
      <c r="N34" s="3">
        <v>4.3545173984941208</v>
      </c>
      <c r="O34" s="3">
        <v>7</v>
      </c>
      <c r="P34" s="3">
        <v>3.6628481965830701</v>
      </c>
      <c r="Q34" s="3">
        <v>80.858166331851692</v>
      </c>
      <c r="R34" s="3">
        <v>77.195318135268622</v>
      </c>
      <c r="S34" s="3">
        <v>59.69</v>
      </c>
      <c r="T34" s="3">
        <v>2.2999999999999998</v>
      </c>
      <c r="U34" s="3">
        <v>1.1504318178371589</v>
      </c>
      <c r="V34" s="3">
        <v>0.84925590477618562</v>
      </c>
      <c r="W34" s="3">
        <v>1.149568182162841</v>
      </c>
      <c r="X34" s="3">
        <v>1.4507440952238142</v>
      </c>
      <c r="AA34" s="3">
        <v>23.3</v>
      </c>
      <c r="AB34" s="3">
        <v>7.25</v>
      </c>
      <c r="AF34" s="16">
        <f>AB34/AE$33</f>
        <v>0.28761977493797874</v>
      </c>
      <c r="AG34" s="3">
        <f>+[7]T1!$G$34-[7]T1!$G$30</f>
        <v>7</v>
      </c>
    </row>
    <row r="35" spans="1:33">
      <c r="A35" s="68"/>
      <c r="F35" s="3">
        <v>2</v>
      </c>
      <c r="G35" s="8">
        <v>3.4670619703438635E-5</v>
      </c>
      <c r="H35" s="3">
        <v>-129.75032832491144</v>
      </c>
      <c r="I35" s="3" t="s">
        <v>21</v>
      </c>
      <c r="M35" s="3">
        <v>3.0679615757712827E-2</v>
      </c>
      <c r="N35" s="3">
        <v>4.3851970142518333</v>
      </c>
      <c r="O35" s="3">
        <v>75</v>
      </c>
      <c r="P35" s="3">
        <v>1.8457676979743383</v>
      </c>
      <c r="Q35" s="3">
        <v>95.72857900864625</v>
      </c>
      <c r="R35" s="3">
        <v>93.882811310671912</v>
      </c>
      <c r="S35" s="3">
        <v>59.69</v>
      </c>
      <c r="T35" s="3">
        <v>2.2999999999999998</v>
      </c>
      <c r="U35" s="3">
        <v>1.3620047073031736</v>
      </c>
      <c r="V35" s="3">
        <v>0.84925590477618562</v>
      </c>
      <c r="W35" s="3">
        <v>0.93799529269682624</v>
      </c>
      <c r="X35" s="3">
        <v>1.4507440952238142</v>
      </c>
      <c r="AA35" s="3">
        <v>23.3</v>
      </c>
      <c r="AB35" s="3">
        <v>29.5</v>
      </c>
      <c r="AF35" s="16">
        <f t="shared" ref="AF35:AF37" si="5">AB35/AE$33</f>
        <v>1.1703149462993618</v>
      </c>
      <c r="AG35" s="3">
        <f>+[7]T2!$G$28-[7]T2!$G$19</f>
        <v>75</v>
      </c>
    </row>
    <row r="36" spans="1:33">
      <c r="A36" s="68"/>
      <c r="F36" s="3">
        <v>3</v>
      </c>
      <c r="G36" s="8">
        <v>3.6649814830668157E-5</v>
      </c>
      <c r="H36" s="3">
        <v>5.5501488182409568</v>
      </c>
      <c r="I36" s="3" t="s">
        <v>22</v>
      </c>
      <c r="M36" s="3">
        <v>3.0679615757712827E-2</v>
      </c>
      <c r="N36" s="3">
        <v>4.4158766300095458</v>
      </c>
      <c r="O36" s="3">
        <v>46</v>
      </c>
      <c r="P36" s="3">
        <v>8.7150526056631747</v>
      </c>
      <c r="Q36" s="3">
        <v>95.762169338637989</v>
      </c>
      <c r="R36" s="3">
        <v>87.047116732974814</v>
      </c>
      <c r="S36" s="3">
        <v>59.69</v>
      </c>
      <c r="T36" s="3">
        <v>2.2999999999999998</v>
      </c>
      <c r="U36" s="3">
        <v>1.3624826229689277</v>
      </c>
      <c r="V36" s="3">
        <v>0.84925590477618562</v>
      </c>
      <c r="W36" s="3">
        <v>0.93751737703107207</v>
      </c>
      <c r="X36" s="3">
        <v>1.4507440952238142</v>
      </c>
      <c r="AA36" s="3">
        <v>22.8</v>
      </c>
      <c r="AB36" s="3">
        <v>17.25</v>
      </c>
      <c r="AF36" s="16">
        <f t="shared" si="5"/>
        <v>0.68433670588691498</v>
      </c>
      <c r="AG36" s="3">
        <f>+[7]T3!$G$24-[7]T3!$G$20</f>
        <v>46</v>
      </c>
    </row>
    <row r="37" spans="1:33">
      <c r="A37" s="68"/>
      <c r="F37" s="3">
        <v>4</v>
      </c>
      <c r="G37" s="8">
        <v>3.0009717221946967E-5</v>
      </c>
      <c r="H37" s="3">
        <v>-19.922424908353946</v>
      </c>
      <c r="I37" s="3" t="s">
        <v>21</v>
      </c>
      <c r="M37" s="3">
        <v>0</v>
      </c>
      <c r="N37" s="3">
        <v>4.4158766300095458</v>
      </c>
      <c r="O37" s="3">
        <v>49</v>
      </c>
      <c r="P37" s="3">
        <v>7.8309168340741451</v>
      </c>
      <c r="Q37" s="3">
        <v>96.267389779545994</v>
      </c>
      <c r="R37" s="3">
        <v>88.436472945471849</v>
      </c>
      <c r="S37" s="3">
        <v>59.69</v>
      </c>
      <c r="T37" s="3">
        <v>2.2999999999999998</v>
      </c>
      <c r="U37" s="3">
        <v>1.3696707858547503</v>
      </c>
      <c r="V37" s="3">
        <v>0.84925590477618562</v>
      </c>
      <c r="W37" s="3">
        <v>0.93032921414524949</v>
      </c>
      <c r="X37" s="3">
        <v>1.4507440952238142</v>
      </c>
      <c r="AA37" s="3">
        <v>21.9</v>
      </c>
      <c r="AB37" s="3">
        <v>15.5</v>
      </c>
      <c r="AF37" s="16">
        <f t="shared" si="5"/>
        <v>0.6149112429708512</v>
      </c>
      <c r="AG37" s="3">
        <f>+[7]T4!$G$24-[7]T4!$G$18</f>
        <v>49</v>
      </c>
    </row>
    <row r="38" spans="1:33" s="4" customFormat="1">
      <c r="A38" s="68"/>
      <c r="G38" s="10"/>
      <c r="J38" s="10"/>
      <c r="K38" s="10"/>
      <c r="L38" s="13"/>
      <c r="AE38" s="19"/>
      <c r="AF38" s="19"/>
    </row>
    <row r="39" spans="1:33">
      <c r="A39" s="68" t="s">
        <v>41</v>
      </c>
      <c r="B39" s="3" t="s">
        <v>25</v>
      </c>
      <c r="C39" s="3">
        <v>20</v>
      </c>
      <c r="D39" s="3" t="s">
        <v>24</v>
      </c>
      <c r="E39" s="3">
        <v>37</v>
      </c>
      <c r="F39" s="3" t="s">
        <v>20</v>
      </c>
      <c r="G39" s="8"/>
      <c r="J39" s="8">
        <f>AVERAGE(G40:G42)</f>
        <v>8.9487994057572265E-5</v>
      </c>
      <c r="K39" s="8">
        <f>STDEV(G40:G42)</f>
        <v>3.3115369956409722E-5</v>
      </c>
      <c r="L39" s="12">
        <f>K39/J39</f>
        <v>0.37005377430971231</v>
      </c>
      <c r="M39" s="3">
        <v>18.653206380689397</v>
      </c>
      <c r="N39" s="3">
        <v>18.653206380689397</v>
      </c>
      <c r="Y39" s="3">
        <v>-0.28733333333333366</v>
      </c>
      <c r="Z39" s="5">
        <v>-0.9</v>
      </c>
      <c r="AC39" s="3">
        <v>4.05</v>
      </c>
      <c r="AD39" s="16">
        <f>E39-C39+Z39</f>
        <v>16.100000000000001</v>
      </c>
      <c r="AE39" s="16">
        <f>0.4*(E39-C39+Z39)*AC39^2*PI()/4</f>
        <v>82.963257335815612</v>
      </c>
      <c r="AF39" s="16"/>
    </row>
    <row r="40" spans="1:33">
      <c r="A40" s="68"/>
      <c r="F40" s="3">
        <v>1</v>
      </c>
      <c r="G40" s="8">
        <v>1.2394959881907952E-4</v>
      </c>
      <c r="M40" s="3">
        <v>0</v>
      </c>
      <c r="N40" s="3">
        <v>18.653206380689397</v>
      </c>
      <c r="O40" s="3">
        <v>33</v>
      </c>
      <c r="P40" s="3">
        <v>21.977089179498449</v>
      </c>
      <c r="Q40" s="3">
        <v>148.21455911818396</v>
      </c>
      <c r="R40" s="3">
        <v>126.23746993868551</v>
      </c>
      <c r="S40" s="3">
        <v>59.69</v>
      </c>
      <c r="T40" s="3">
        <v>3.1</v>
      </c>
      <c r="U40" s="3">
        <v>2.1087634361688181</v>
      </c>
      <c r="V40" s="3">
        <v>0.84925590477618562</v>
      </c>
      <c r="W40" s="3">
        <v>0.99123656383118197</v>
      </c>
      <c r="X40" s="3">
        <v>2.2507440952238147</v>
      </c>
      <c r="AA40" s="3" t="s">
        <v>24</v>
      </c>
      <c r="AB40" s="3">
        <v>43.5</v>
      </c>
      <c r="AF40" s="16">
        <f>AB40/AE$39</f>
        <v>0.52432849669730663</v>
      </c>
      <c r="AG40" s="3">
        <f>+[8]T1!$G$31-[8]T1!$G$18</f>
        <v>33</v>
      </c>
    </row>
    <row r="41" spans="1:33">
      <c r="A41" s="68"/>
      <c r="F41" s="3">
        <v>2</v>
      </c>
      <c r="G41" s="8">
        <v>8.6607316251055907E-5</v>
      </c>
      <c r="H41" s="3">
        <v>-35.470012994429638</v>
      </c>
      <c r="I41" s="3" t="s">
        <v>21</v>
      </c>
      <c r="M41" s="3">
        <v>0.49087385212340523</v>
      </c>
      <c r="N41" s="3">
        <v>19.144080232812801</v>
      </c>
      <c r="O41" s="3">
        <v>31.5</v>
      </c>
      <c r="P41" s="3">
        <v>15.40922344769433</v>
      </c>
      <c r="Q41" s="3">
        <v>147.70933867727598</v>
      </c>
      <c r="R41" s="3">
        <v>132.30011522958165</v>
      </c>
      <c r="S41" s="3">
        <v>59.69</v>
      </c>
      <c r="T41" s="3">
        <v>3.1</v>
      </c>
      <c r="U41" s="3">
        <v>2.1015752732829962</v>
      </c>
      <c r="V41" s="3">
        <v>0.84925590477618562</v>
      </c>
      <c r="W41" s="3">
        <v>0.99842472671700389</v>
      </c>
      <c r="X41" s="3">
        <v>2.2507440952238147</v>
      </c>
      <c r="AA41" s="3">
        <v>24.7</v>
      </c>
      <c r="AB41" s="3">
        <v>30.5</v>
      </c>
      <c r="AF41" s="16">
        <f t="shared" ref="AF41:AF42" si="6">AB41/AE$39</f>
        <v>0.36763262412110009</v>
      </c>
      <c r="AG41" s="3">
        <f>+[8]T2!$G$31-[8]T2!$G$19</f>
        <v>31.5</v>
      </c>
    </row>
    <row r="42" spans="1:33">
      <c r="A42" s="68"/>
      <c r="F42" s="3">
        <v>3</v>
      </c>
      <c r="G42" s="8">
        <v>5.7907067102581344E-5</v>
      </c>
      <c r="H42" s="3">
        <v>-39.719574595205458</v>
      </c>
      <c r="I42" s="3" t="s">
        <v>21</v>
      </c>
      <c r="M42" s="3">
        <v>0.49087385212340523</v>
      </c>
      <c r="N42" s="3">
        <v>19.634954084936204</v>
      </c>
      <c r="O42" s="3">
        <v>33</v>
      </c>
      <c r="P42" s="3">
        <v>11.493765030657215</v>
      </c>
      <c r="Q42" s="3">
        <v>148.46716933863797</v>
      </c>
      <c r="R42" s="3">
        <v>136.97340430798076</v>
      </c>
      <c r="S42" s="3">
        <v>59.69</v>
      </c>
      <c r="T42" s="3">
        <v>3.1</v>
      </c>
      <c r="U42" s="3">
        <v>2.1123575176117293</v>
      </c>
      <c r="V42" s="3">
        <v>0.84925590477618562</v>
      </c>
      <c r="W42" s="3">
        <v>0.98764248238827079</v>
      </c>
      <c r="X42" s="3">
        <v>2.2507440952238147</v>
      </c>
      <c r="AA42" s="3" t="s">
        <v>24</v>
      </c>
      <c r="AB42" s="3">
        <v>22.75</v>
      </c>
      <c r="AF42" s="16">
        <f t="shared" si="6"/>
        <v>0.27421777700836153</v>
      </c>
      <c r="AG42" s="3">
        <f>+[8]T3!$G$31-[8]T3!$G$18</f>
        <v>33</v>
      </c>
    </row>
    <row r="43" spans="1:33" s="4" customFormat="1">
      <c r="A43" s="68"/>
      <c r="G43" s="10"/>
      <c r="J43" s="10"/>
      <c r="K43" s="10"/>
      <c r="L43" s="13"/>
      <c r="AE43" s="19"/>
      <c r="AF43" s="19"/>
    </row>
    <row r="44" spans="1:33">
      <c r="A44" s="68"/>
      <c r="B44" s="3" t="s">
        <v>27</v>
      </c>
      <c r="C44" s="3">
        <v>44</v>
      </c>
      <c r="D44" s="3" t="s">
        <v>24</v>
      </c>
      <c r="E44" s="3">
        <v>62.5</v>
      </c>
      <c r="F44" s="3" t="s">
        <v>20</v>
      </c>
      <c r="G44" s="8"/>
      <c r="J44" s="8">
        <f>AVERAGE(G45:G48)</f>
        <v>9.2966401512500955E-6</v>
      </c>
      <c r="K44" s="8">
        <f>STDEV(G45:G48)</f>
        <v>4.0471552218986283E-6</v>
      </c>
      <c r="L44" s="12">
        <f>K44/J44</f>
        <v>0.43533525618439878</v>
      </c>
      <c r="M44" s="3">
        <v>107.99224746714914</v>
      </c>
      <c r="N44" s="3">
        <v>107.99224746714914</v>
      </c>
      <c r="Y44" s="3">
        <v>-0.86899999999999977</v>
      </c>
      <c r="Z44" s="3">
        <v>-1.3740000000000014</v>
      </c>
      <c r="AA44" s="3" t="s">
        <v>24</v>
      </c>
      <c r="AC44" s="3">
        <v>3.51</v>
      </c>
      <c r="AD44" s="3">
        <f>E44-C44+Z44</f>
        <v>17.125999999999998</v>
      </c>
      <c r="AE44" s="16">
        <f>0.4*(E44-C44+Z44)*AC44^2*PI()/4</f>
        <v>66.285730276744516</v>
      </c>
      <c r="AF44" s="16"/>
    </row>
    <row r="45" spans="1:33">
      <c r="A45" s="68"/>
      <c r="F45" s="3">
        <v>1</v>
      </c>
      <c r="G45" s="8">
        <v>4.2290667586102337E-6</v>
      </c>
      <c r="M45" s="3" t="s">
        <v>28</v>
      </c>
      <c r="N45" s="3" t="s">
        <v>28</v>
      </c>
      <c r="O45" s="3">
        <v>148</v>
      </c>
      <c r="P45" s="3">
        <v>20.690142601946405</v>
      </c>
      <c r="Q45" s="3">
        <v>157.12632234868468</v>
      </c>
      <c r="R45" s="3">
        <v>136.43617974673828</v>
      </c>
      <c r="S45" s="3">
        <v>59.69</v>
      </c>
      <c r="T45" s="3">
        <v>3.2</v>
      </c>
      <c r="U45" s="3">
        <v>2.2355580005090769</v>
      </c>
      <c r="V45" s="3">
        <v>0.84925590477618562</v>
      </c>
      <c r="W45" s="3">
        <v>0.96444199949092324</v>
      </c>
      <c r="X45" s="3">
        <v>2.3507440952238143</v>
      </c>
      <c r="AA45" s="3">
        <v>25.4</v>
      </c>
      <c r="AB45" s="3">
        <v>5.85</v>
      </c>
      <c r="AC45" s="15" t="s">
        <v>29</v>
      </c>
      <c r="AD45" s="15"/>
      <c r="AF45" s="16">
        <f>AB45/AE$44</f>
        <v>8.8254289054010712E-2</v>
      </c>
      <c r="AG45" s="3">
        <f>+[9]T1!$G$26-[9]T1!$G$18</f>
        <v>148</v>
      </c>
    </row>
    <row r="46" spans="1:33">
      <c r="A46" s="68"/>
      <c r="F46" s="3">
        <v>2</v>
      </c>
      <c r="G46" s="8">
        <v>1.3484555368422708E-5</v>
      </c>
      <c r="H46" s="3">
        <v>104.50136672710859</v>
      </c>
      <c r="I46" s="3" t="s">
        <v>21</v>
      </c>
      <c r="M46" s="3" t="s">
        <v>28</v>
      </c>
      <c r="N46" s="3" t="s">
        <v>28</v>
      </c>
      <c r="O46" s="3">
        <v>55.5</v>
      </c>
      <c r="P46" s="3">
        <v>30.608512881585483</v>
      </c>
      <c r="Q46" s="3">
        <v>183.00851288158549</v>
      </c>
      <c r="R46" s="3">
        <v>152.4</v>
      </c>
      <c r="S46" s="3">
        <v>59.69</v>
      </c>
      <c r="T46" s="3">
        <v>3.6</v>
      </c>
      <c r="U46" s="3">
        <v>2.6038039904338257</v>
      </c>
      <c r="V46" s="3">
        <v>0.84925590477618562</v>
      </c>
      <c r="W46" s="3">
        <v>0.99619600956617438</v>
      </c>
      <c r="X46" s="3">
        <v>2.7507440952238147</v>
      </c>
      <c r="AA46" s="3">
        <v>28</v>
      </c>
      <c r="AB46" s="3">
        <v>8.6543531285487738</v>
      </c>
      <c r="AF46" s="16">
        <f t="shared" ref="AF46:AF48" si="7">AB46/AE$44</f>
        <v>0.13056133035597015</v>
      </c>
      <c r="AG46" s="3">
        <f>+[9]T2!$G$27-[9]T2!$G$20</f>
        <v>55.5</v>
      </c>
    </row>
    <row r="47" spans="1:33">
      <c r="A47" s="68"/>
      <c r="F47" s="3">
        <v>3</v>
      </c>
      <c r="G47" s="8">
        <v>8.0732550372686481E-6</v>
      </c>
      <c r="H47" s="3">
        <v>-50.20268969176437</v>
      </c>
      <c r="I47" s="3" t="s">
        <v>21</v>
      </c>
      <c r="M47" s="3" t="s">
        <v>28</v>
      </c>
      <c r="N47" s="3" t="s">
        <v>28</v>
      </c>
      <c r="O47" s="3">
        <v>69.5</v>
      </c>
      <c r="P47" s="3">
        <v>23.979344759178872</v>
      </c>
      <c r="Q47" s="3">
        <v>186.54528939473872</v>
      </c>
      <c r="R47" s="3">
        <v>162.56594463555984</v>
      </c>
      <c r="S47" s="3">
        <v>59.69</v>
      </c>
      <c r="T47" s="3">
        <v>3.6</v>
      </c>
      <c r="U47" s="3">
        <v>2.6541244517785927</v>
      </c>
      <c r="V47" s="3">
        <v>0.84925590477618562</v>
      </c>
      <c r="W47" s="3">
        <v>0.9458755482214074</v>
      </c>
      <c r="X47" s="3">
        <v>2.7507440952238147</v>
      </c>
      <c r="AA47" s="3" t="s">
        <v>24</v>
      </c>
      <c r="AB47" s="3">
        <v>6.78</v>
      </c>
      <c r="AF47" s="16">
        <f t="shared" si="7"/>
        <v>0.10228445808310986</v>
      </c>
      <c r="AG47" s="3">
        <f>+[9]T3!$G$23-[9]T3!$G$18</f>
        <v>69.5</v>
      </c>
    </row>
    <row r="48" spans="1:33">
      <c r="A48" s="68"/>
      <c r="F48" s="3">
        <v>4</v>
      </c>
      <c r="G48" s="8">
        <v>1.1399683440698793E-5</v>
      </c>
      <c r="H48" s="3">
        <v>34.164627050959112</v>
      </c>
      <c r="I48" s="3" t="s">
        <v>21</v>
      </c>
      <c r="M48" s="3" t="s">
        <v>28</v>
      </c>
      <c r="N48" s="3" t="s">
        <v>28</v>
      </c>
      <c r="O48" s="3">
        <v>43</v>
      </c>
      <c r="P48" s="3">
        <v>21.574336730234705</v>
      </c>
      <c r="Q48" s="3">
        <v>185.83793409210807</v>
      </c>
      <c r="R48" s="3">
        <v>164.26359736187337</v>
      </c>
      <c r="S48" s="3">
        <v>59.69</v>
      </c>
      <c r="T48" s="3">
        <v>3.6</v>
      </c>
      <c r="U48" s="3">
        <v>2.644060359509639</v>
      </c>
      <c r="V48" s="3">
        <v>0.84925590477618562</v>
      </c>
      <c r="W48" s="3">
        <v>0.95593964049036106</v>
      </c>
      <c r="X48" s="3">
        <v>2.7507440952238147</v>
      </c>
      <c r="AA48" s="3" t="s">
        <v>24</v>
      </c>
      <c r="AB48" s="3">
        <v>6.1</v>
      </c>
      <c r="AF48" s="16">
        <f t="shared" si="7"/>
        <v>9.2025839868284665E-2</v>
      </c>
      <c r="AG48" s="3">
        <f>+[9]T4!$G$23-[9]T4!$G$19</f>
        <v>43</v>
      </c>
    </row>
    <row r="49" spans="1:34" s="4" customFormat="1">
      <c r="A49" s="68"/>
      <c r="G49" s="10"/>
      <c r="J49" s="10"/>
      <c r="K49" s="10"/>
      <c r="L49" s="13"/>
      <c r="AE49" s="19"/>
      <c r="AF49" s="19"/>
    </row>
    <row r="50" spans="1:34">
      <c r="A50" s="68" t="s">
        <v>40</v>
      </c>
      <c r="B50" s="3" t="s">
        <v>30</v>
      </c>
      <c r="C50" s="3">
        <v>34</v>
      </c>
      <c r="D50" s="3" t="s">
        <v>24</v>
      </c>
      <c r="E50" s="3">
        <v>46</v>
      </c>
      <c r="F50" s="3" t="s">
        <v>20</v>
      </c>
      <c r="G50" s="8"/>
      <c r="J50" s="8">
        <f>AVERAGE(G51:G53)</f>
        <v>8.8321359866829158E-4</v>
      </c>
      <c r="K50" s="8">
        <f>STDEV(G51:G53)</f>
        <v>7.9398936710886633E-5</v>
      </c>
      <c r="L50" s="12">
        <f>K50/J50</f>
        <v>8.989777425370743E-2</v>
      </c>
      <c r="M50" s="3">
        <v>19.991193511268463</v>
      </c>
      <c r="N50" s="3">
        <v>19.991193511268463</v>
      </c>
      <c r="Y50" s="3">
        <v>-0.40300000000000047</v>
      </c>
      <c r="Z50" s="3">
        <v>-1.069</v>
      </c>
      <c r="AC50" s="3">
        <v>4.0289999999999999</v>
      </c>
      <c r="AD50" s="3">
        <f>E50-C50+Z50</f>
        <v>10.931000000000001</v>
      </c>
      <c r="AE50" s="16">
        <f>0.4*(E50-C50+Z50)*AC50^2*PI()/4</f>
        <v>55.744792314916133</v>
      </c>
      <c r="AF50" s="16"/>
    </row>
    <row r="51" spans="1:34">
      <c r="A51" s="68"/>
      <c r="F51" s="3">
        <v>1</v>
      </c>
      <c r="G51" s="8">
        <v>9.7378209080812076E-4</v>
      </c>
      <c r="M51" s="3">
        <v>0.39586521804492009</v>
      </c>
      <c r="N51" s="3">
        <v>20.387058729313384</v>
      </c>
      <c r="O51" s="3">
        <v>4</v>
      </c>
      <c r="P51" s="3">
        <v>14.019867235197268</v>
      </c>
      <c r="Q51" s="3">
        <v>117.75193136250891</v>
      </c>
      <c r="R51" s="3">
        <v>103.73206412731165</v>
      </c>
      <c r="S51" s="3">
        <v>59.69</v>
      </c>
      <c r="T51" s="3">
        <v>2.7</v>
      </c>
      <c r="U51" s="3">
        <v>1.6753480148837461</v>
      </c>
      <c r="V51" s="3">
        <v>0.84925590477618562</v>
      </c>
      <c r="W51" s="3">
        <v>1.0246519851162541</v>
      </c>
      <c r="X51" s="3">
        <v>1.8507440952238146</v>
      </c>
      <c r="AA51" s="3" t="s">
        <v>24</v>
      </c>
      <c r="AB51" s="3">
        <v>27.75</v>
      </c>
      <c r="AF51" s="16">
        <f>AB51/AE$50</f>
        <v>0.49780434813055502</v>
      </c>
      <c r="AG51" s="3">
        <f>+[10]T1!$G$25-[10]T1!$G$18</f>
        <v>4</v>
      </c>
    </row>
    <row r="52" spans="1:34">
      <c r="A52" s="68"/>
      <c r="F52" s="3">
        <v>2</v>
      </c>
      <c r="G52" s="8">
        <v>8.5026638321589795E-4</v>
      </c>
      <c r="H52" s="3">
        <v>-13.543029075289406</v>
      </c>
      <c r="I52" s="3" t="s">
        <v>21</v>
      </c>
      <c r="M52" s="3">
        <v>0</v>
      </c>
      <c r="N52" s="3">
        <v>20.387058729313384</v>
      </c>
      <c r="O52" s="3">
        <v>4.5</v>
      </c>
      <c r="P52" s="3">
        <v>13.767257014743251</v>
      </c>
      <c r="Q52" s="3">
        <v>117.75193136250891</v>
      </c>
      <c r="R52" s="3">
        <v>103.98467434776566</v>
      </c>
      <c r="S52" s="3">
        <v>59.69</v>
      </c>
      <c r="T52" s="3">
        <v>2.7</v>
      </c>
      <c r="U52" s="3">
        <v>1.6753480148837461</v>
      </c>
      <c r="V52" s="3">
        <v>0.84925590477618562</v>
      </c>
      <c r="W52" s="3">
        <v>1.0246519851162541</v>
      </c>
      <c r="X52" s="3">
        <v>1.8507440952238146</v>
      </c>
      <c r="AA52" s="3" t="s">
        <v>24</v>
      </c>
      <c r="AB52" s="3">
        <v>27.25</v>
      </c>
      <c r="AF52" s="16">
        <f t="shared" ref="AF52:AF53" si="8">AB52/AE$50</f>
        <v>0.48883490041649097</v>
      </c>
      <c r="AG52" s="3">
        <f>+[10]T2!$G$26-[10]T2!$G$18</f>
        <v>4.5</v>
      </c>
    </row>
    <row r="53" spans="1:34">
      <c r="A53" s="68"/>
      <c r="F53" s="3">
        <v>3</v>
      </c>
      <c r="G53" s="8">
        <v>8.2559232198085592E-4</v>
      </c>
      <c r="H53" s="3">
        <v>-2.9446469631991041</v>
      </c>
      <c r="I53" s="3" t="s">
        <v>22</v>
      </c>
      <c r="M53" s="3">
        <v>0</v>
      </c>
      <c r="N53" s="3">
        <v>20.387058729313384</v>
      </c>
      <c r="O53" s="3">
        <v>4.5</v>
      </c>
      <c r="P53" s="3">
        <v>13.514646794289249</v>
      </c>
      <c r="Q53" s="3">
        <v>118.25715180341693</v>
      </c>
      <c r="R53" s="3">
        <v>104.74250500912768</v>
      </c>
      <c r="S53" s="3">
        <v>59.69</v>
      </c>
      <c r="T53" s="3">
        <v>2.7</v>
      </c>
      <c r="U53" s="3">
        <v>1.6825361777695689</v>
      </c>
      <c r="V53" s="3">
        <v>0.84925590477618562</v>
      </c>
      <c r="W53" s="3">
        <v>1.0174638222304313</v>
      </c>
      <c r="X53" s="3">
        <v>1.8507440952238146</v>
      </c>
      <c r="AA53" s="3">
        <v>24.7</v>
      </c>
      <c r="AB53" s="3">
        <v>26.75</v>
      </c>
      <c r="AF53" s="16">
        <f t="shared" si="8"/>
        <v>0.47986545270242692</v>
      </c>
      <c r="AG53" s="3">
        <f>+[10]T3!$G$27-[10]T3!$G$18</f>
        <v>4.5</v>
      </c>
    </row>
    <row r="54" spans="1:34" s="4" customFormat="1">
      <c r="A54" s="68"/>
      <c r="G54" s="10"/>
      <c r="J54" s="10"/>
      <c r="K54" s="10"/>
      <c r="L54" s="13"/>
      <c r="AE54" s="19"/>
      <c r="AF54" s="19"/>
    </row>
    <row r="55" spans="1:34">
      <c r="A55" s="68"/>
      <c r="B55" s="3" t="s">
        <v>31</v>
      </c>
      <c r="C55" s="3">
        <v>47</v>
      </c>
      <c r="D55" s="3" t="s">
        <v>24</v>
      </c>
      <c r="E55" s="3">
        <v>54</v>
      </c>
      <c r="F55" s="3" t="s">
        <v>20</v>
      </c>
      <c r="G55" s="8"/>
      <c r="J55" s="8">
        <f>AVERAGE(G56:G58)</f>
        <v>6.6859396884945367E-4</v>
      </c>
      <c r="K55" s="8">
        <f>STDEV(G56:G58)</f>
        <v>1.4475694029899964E-4</v>
      </c>
      <c r="L55" s="12">
        <f>K55/J55</f>
        <v>0.2165094916247956</v>
      </c>
      <c r="M55" s="3">
        <v>14.844945676684503</v>
      </c>
      <c r="N55" s="3">
        <v>14.844945676684503</v>
      </c>
      <c r="Y55" s="3">
        <v>-2.98875</v>
      </c>
      <c r="Z55" s="3">
        <v>-1.0074999999999994</v>
      </c>
      <c r="AC55" s="3">
        <v>3.81</v>
      </c>
      <c r="AD55" s="3">
        <f>E55-C55+Z55</f>
        <v>5.9925000000000006</v>
      </c>
      <c r="AE55" s="16">
        <f>0.4*(E55-C55+Z55)*AC55^2*PI()/4</f>
        <v>27.328001116425796</v>
      </c>
      <c r="AF55" s="16"/>
    </row>
    <row r="56" spans="1:34">
      <c r="A56" s="68"/>
      <c r="F56" s="3">
        <v>1</v>
      </c>
      <c r="G56" s="8">
        <v>5.0536191018059535E-4</v>
      </c>
      <c r="M56" s="3">
        <v>0.39586521804492009</v>
      </c>
      <c r="N56" s="3">
        <v>15.240810894729423</v>
      </c>
      <c r="O56" s="3">
        <v>8.5</v>
      </c>
      <c r="P56" s="3">
        <v>17.051189880645325</v>
      </c>
      <c r="Q56" s="3">
        <v>134.38128757500596</v>
      </c>
      <c r="R56" s="3">
        <v>117.33009769436063</v>
      </c>
      <c r="S56" s="3">
        <v>59.69</v>
      </c>
      <c r="T56" s="3">
        <v>2.9</v>
      </c>
      <c r="U56" s="3">
        <v>1.9119467576562317</v>
      </c>
      <c r="V56" s="3">
        <v>0.84925590477618562</v>
      </c>
      <c r="W56" s="3">
        <v>0.98805324234376823</v>
      </c>
      <c r="X56" s="3">
        <v>2.0507440952238145</v>
      </c>
      <c r="AA56" s="3">
        <v>31</v>
      </c>
      <c r="AB56" s="3">
        <v>33.75</v>
      </c>
      <c r="AF56" s="16">
        <f>AB56/AE$55</f>
        <v>1.2349970221464237</v>
      </c>
      <c r="AG56" s="3">
        <f>+[11]T1!$G$24-[11]T1!$G$18</f>
        <v>8.5</v>
      </c>
    </row>
    <row r="57" spans="1:34">
      <c r="A57" s="68"/>
      <c r="F57" s="3">
        <v>2</v>
      </c>
      <c r="G57" s="8">
        <v>7.1904843481211092E-4</v>
      </c>
      <c r="H57" s="3">
        <v>34.904397125587586</v>
      </c>
      <c r="I57" s="3" t="s">
        <v>21</v>
      </c>
      <c r="M57" s="3">
        <v>0.19793260902246004</v>
      </c>
      <c r="N57" s="3">
        <v>15.438743503751883</v>
      </c>
      <c r="O57" s="3">
        <v>6.5</v>
      </c>
      <c r="P57" s="3">
        <v>17.935325652234354</v>
      </c>
      <c r="Q57" s="3">
        <v>133.49715180341693</v>
      </c>
      <c r="R57" s="3">
        <v>115.56182615118257</v>
      </c>
      <c r="S57" s="3">
        <v>59.69</v>
      </c>
      <c r="T57" s="3">
        <v>2.9</v>
      </c>
      <c r="U57" s="3">
        <v>1.8993674726060414</v>
      </c>
      <c r="V57" s="3">
        <v>0.84925590477618562</v>
      </c>
      <c r="W57" s="3">
        <v>1.0006325273939585</v>
      </c>
      <c r="X57" s="3">
        <v>2.0507440952238145</v>
      </c>
      <c r="AA57" s="3" t="s">
        <v>24</v>
      </c>
      <c r="AB57" s="3">
        <v>35.5</v>
      </c>
      <c r="AF57" s="16">
        <f t="shared" ref="AF57:AF58" si="9">AB57/AE$55</f>
        <v>1.2990339047762383</v>
      </c>
      <c r="AG57" s="3">
        <f>+[11]T2!$G$24-[11]T2!$G$18</f>
        <v>6.5</v>
      </c>
    </row>
    <row r="58" spans="1:34">
      <c r="A58" s="68"/>
      <c r="F58" s="3">
        <v>3</v>
      </c>
      <c r="G58" s="8">
        <v>7.8137156155565462E-4</v>
      </c>
      <c r="H58" s="3">
        <v>8.3074241738201664</v>
      </c>
      <c r="I58" s="3" t="s">
        <v>22</v>
      </c>
      <c r="M58" s="3">
        <v>0.19793260902246004</v>
      </c>
      <c r="N58" s="3">
        <v>15.636676112774344</v>
      </c>
      <c r="O58" s="3">
        <v>6</v>
      </c>
      <c r="P58" s="3">
        <v>18.061630762461363</v>
      </c>
      <c r="Q58" s="3">
        <v>133.24454158296294</v>
      </c>
      <c r="R58" s="3">
        <v>115.18291082050158</v>
      </c>
      <c r="S58" s="3">
        <v>59.69</v>
      </c>
      <c r="T58" s="3">
        <v>2.9</v>
      </c>
      <c r="U58" s="3">
        <v>1.8957733911631305</v>
      </c>
      <c r="V58" s="3">
        <v>0.84925590477618562</v>
      </c>
      <c r="W58" s="3">
        <v>1.0042266088368694</v>
      </c>
      <c r="X58" s="3">
        <v>2.0507440952238145</v>
      </c>
      <c r="AA58" s="3">
        <v>30.3</v>
      </c>
      <c r="AB58" s="3">
        <v>35.75</v>
      </c>
      <c r="AF58" s="16">
        <f t="shared" si="9"/>
        <v>1.3081820308662118</v>
      </c>
      <c r="AG58" s="3">
        <f>+[11]T3!$G$24-[11]T3!$G$18</f>
        <v>6</v>
      </c>
    </row>
    <row r="59" spans="1:34" s="4" customFormat="1">
      <c r="A59" s="68"/>
      <c r="G59" s="10"/>
      <c r="J59" s="10"/>
      <c r="K59" s="10"/>
      <c r="L59" s="13"/>
      <c r="AE59" s="19"/>
      <c r="AF59" s="19"/>
    </row>
    <row r="60" spans="1:34">
      <c r="A60" s="68" t="s">
        <v>40</v>
      </c>
      <c r="B60" s="3" t="s">
        <v>36</v>
      </c>
      <c r="C60" s="3">
        <v>4</v>
      </c>
      <c r="D60" s="3" t="s">
        <v>24</v>
      </c>
      <c r="E60" s="3">
        <v>19</v>
      </c>
      <c r="F60" s="3" t="s">
        <v>20</v>
      </c>
      <c r="G60" s="8"/>
      <c r="J60" s="8">
        <f>AVERAGE(G61:G63)</f>
        <v>7.3224290104620306E-4</v>
      </c>
      <c r="K60" s="8">
        <f>STDEV(G61:G63)</f>
        <v>4.6882090737578207E-5</v>
      </c>
      <c r="L60" s="12">
        <f>K60/J60</f>
        <v>6.4025326391822596E-2</v>
      </c>
      <c r="M60" s="3">
        <v>29.491958744346547</v>
      </c>
      <c r="N60" s="3">
        <v>29.491958744346547</v>
      </c>
      <c r="Y60" s="3">
        <v>-1.3127499999999994</v>
      </c>
      <c r="Z60" s="3">
        <v>-2.2959999999999994</v>
      </c>
      <c r="AC60" s="3">
        <v>3.13</v>
      </c>
      <c r="AD60" s="3">
        <f>E60-C60+Z60</f>
        <v>12.704000000000001</v>
      </c>
      <c r="AE60" s="16">
        <f>0.4*(E60-C60+Z60)*AC60^2*PI()/4</f>
        <v>39.100204863928568</v>
      </c>
      <c r="AF60" s="16"/>
    </row>
    <row r="61" spans="1:34">
      <c r="A61" s="68"/>
      <c r="F61" s="3">
        <v>1</v>
      </c>
      <c r="G61" s="8">
        <v>7.2703020635230908E-4</v>
      </c>
      <c r="M61" s="3" t="s">
        <v>28</v>
      </c>
      <c r="N61" s="14" t="s">
        <v>28</v>
      </c>
      <c r="O61" s="3">
        <v>6</v>
      </c>
      <c r="P61" s="3">
        <v>7.9572219443011676</v>
      </c>
      <c r="Q61" s="3">
        <v>98.623143787502968</v>
      </c>
      <c r="R61" s="3">
        <v>90.665921843201801</v>
      </c>
      <c r="S61" s="3">
        <v>59.69</v>
      </c>
      <c r="T61" s="3">
        <v>1.8</v>
      </c>
      <c r="U61" s="3">
        <v>1.4031879244283409</v>
      </c>
      <c r="V61" s="3">
        <v>0.84925590477618562</v>
      </c>
      <c r="W61" s="3">
        <v>0.3968120755716591</v>
      </c>
      <c r="X61" s="3">
        <v>0.95074409522381442</v>
      </c>
      <c r="AA61" s="3">
        <v>22.4</v>
      </c>
      <c r="AB61" s="3">
        <v>15.75</v>
      </c>
      <c r="AF61" s="16">
        <f>AB61/AE$60</f>
        <v>0.40281118870888516</v>
      </c>
      <c r="AG61" s="16">
        <f>+[12]T1!$G$24-[12]T1!$G$18</f>
        <v>6</v>
      </c>
      <c r="AH61" s="15" t="s">
        <v>29</v>
      </c>
    </row>
    <row r="62" spans="1:34">
      <c r="A62" s="68"/>
      <c r="F62" s="3">
        <v>2</v>
      </c>
      <c r="G62" s="8">
        <v>7.8151348836818558E-4</v>
      </c>
      <c r="H62" s="3">
        <v>7.2232951828380738</v>
      </c>
      <c r="I62" s="3" t="s">
        <v>22</v>
      </c>
      <c r="M62" s="3" t="s">
        <v>28</v>
      </c>
      <c r="N62" s="14" t="s">
        <v>28</v>
      </c>
      <c r="O62" s="3">
        <v>7</v>
      </c>
      <c r="P62" s="3">
        <v>9.4728832670251819</v>
      </c>
      <c r="Q62" s="3">
        <v>97.991618236367955</v>
      </c>
      <c r="R62" s="3">
        <v>88.518734969342773</v>
      </c>
      <c r="S62" s="3">
        <v>59.69</v>
      </c>
      <c r="T62" s="3">
        <v>1.8</v>
      </c>
      <c r="U62" s="3">
        <v>1.3942027208210626</v>
      </c>
      <c r="V62" s="3">
        <v>0.84925590477618562</v>
      </c>
      <c r="W62" s="3">
        <v>0.40579727917893749</v>
      </c>
      <c r="X62" s="3">
        <v>0.95074409522381442</v>
      </c>
      <c r="AA62" s="3" t="s">
        <v>24</v>
      </c>
      <c r="AB62" s="3">
        <v>18.75</v>
      </c>
      <c r="AF62" s="16">
        <f t="shared" ref="AF62:AF63" si="10">AB62/AE$60</f>
        <v>0.47953712941533949</v>
      </c>
      <c r="AG62" s="3">
        <f>+[12]T2!$G$25-[12]T2!$G$18</f>
        <v>7</v>
      </c>
    </row>
    <row r="63" spans="1:34">
      <c r="A63" s="68"/>
      <c r="F63" s="3">
        <v>3</v>
      </c>
      <c r="G63" s="8">
        <v>6.8818500841811452E-4</v>
      </c>
      <c r="H63" s="3">
        <v>-12.700357271120129</v>
      </c>
      <c r="I63" s="3" t="s">
        <v>21</v>
      </c>
      <c r="M63" s="3" t="s">
        <v>28</v>
      </c>
      <c r="N63" s="14" t="s">
        <v>28</v>
      </c>
      <c r="O63" s="3">
        <v>8</v>
      </c>
      <c r="P63" s="3">
        <v>9.4728832670251961</v>
      </c>
      <c r="Q63" s="3">
        <v>97.739008015913953</v>
      </c>
      <c r="R63" s="3">
        <v>88.266124748888757</v>
      </c>
      <c r="S63" s="3">
        <v>59.69</v>
      </c>
      <c r="T63" s="3">
        <v>1.8</v>
      </c>
      <c r="U63" s="3">
        <v>1.3906086393781514</v>
      </c>
      <c r="V63" s="3">
        <v>0.84925590477618562</v>
      </c>
      <c r="W63" s="3">
        <v>0.40939136062184867</v>
      </c>
      <c r="X63" s="3">
        <v>0.95074409522381442</v>
      </c>
      <c r="AA63" s="3" t="s">
        <v>24</v>
      </c>
      <c r="AB63" s="3">
        <v>18.75</v>
      </c>
      <c r="AF63" s="16">
        <f t="shared" si="10"/>
        <v>0.47953712941533949</v>
      </c>
      <c r="AG63" s="3">
        <f>+[12]T3!$G$26-[12]T3!$G$18</f>
        <v>8</v>
      </c>
    </row>
  </sheetData>
  <mergeCells count="7">
    <mergeCell ref="C2:E2"/>
    <mergeCell ref="A60:A63"/>
    <mergeCell ref="A3:A16"/>
    <mergeCell ref="A17:A27"/>
    <mergeCell ref="A28:A38"/>
    <mergeCell ref="A39:A49"/>
    <mergeCell ref="A50:A59"/>
  </mergeCells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8"/>
  <sheetViews>
    <sheetView tabSelected="1" workbookViewId="0">
      <selection activeCell="B8" sqref="B8"/>
    </sheetView>
  </sheetViews>
  <sheetFormatPr baseColWidth="10" defaultRowHeight="15" x14ac:dyDescent="0"/>
  <cols>
    <col min="2" max="2" width="20.33203125" customWidth="1"/>
    <col min="3" max="3" width="23.6640625" customWidth="1"/>
    <col min="6" max="6" width="22" customWidth="1"/>
    <col min="11" max="11" width="11.33203125" customWidth="1"/>
  </cols>
  <sheetData>
    <row r="2" spans="1:27">
      <c r="A2" s="21"/>
      <c r="B2" s="69" t="s">
        <v>54</v>
      </c>
      <c r="C2" s="69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22" customHeight="1">
      <c r="A3" s="24"/>
      <c r="B3" s="25" t="s">
        <v>55</v>
      </c>
      <c r="C3" s="25" t="s">
        <v>56</v>
      </c>
      <c r="D3" s="22"/>
      <c r="E3" s="23"/>
      <c r="F3" s="70" t="s">
        <v>128</v>
      </c>
      <c r="G3" s="70"/>
      <c r="H3" s="70"/>
      <c r="I3" s="70"/>
      <c r="J3" s="70"/>
      <c r="K3" s="70"/>
      <c r="L3" s="23"/>
      <c r="M3" s="26"/>
      <c r="N3" s="26" t="s">
        <v>58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18" customHeight="1">
      <c r="A4" s="27" t="s">
        <v>59</v>
      </c>
      <c r="B4" s="28" t="s">
        <v>57</v>
      </c>
      <c r="C4" s="29" t="s">
        <v>60</v>
      </c>
      <c r="D4" s="22"/>
      <c r="E4" s="23"/>
      <c r="F4" s="70"/>
      <c r="G4" s="70"/>
      <c r="H4" s="70"/>
      <c r="I4" s="70"/>
      <c r="J4" s="70"/>
      <c r="K4" s="70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>
      <c r="A5" s="27" t="s">
        <v>61</v>
      </c>
      <c r="B5" s="28" t="s">
        <v>62</v>
      </c>
      <c r="C5" s="29" t="s">
        <v>62</v>
      </c>
      <c r="D5" s="22"/>
      <c r="E5" s="23"/>
      <c r="F5" s="30"/>
      <c r="G5" s="23"/>
      <c r="H5" s="23"/>
      <c r="I5" s="23"/>
      <c r="J5" s="23"/>
      <c r="K5" s="23"/>
      <c r="L5" s="23"/>
      <c r="M5" s="31" t="s">
        <v>63</v>
      </c>
      <c r="N5" s="31" t="s">
        <v>64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>
      <c r="A6" s="27" t="s">
        <v>65</v>
      </c>
      <c r="B6" s="28" t="s">
        <v>66</v>
      </c>
      <c r="C6" s="29" t="s">
        <v>67</v>
      </c>
      <c r="D6" s="22"/>
      <c r="E6" s="23"/>
      <c r="F6" s="23"/>
      <c r="G6" s="23"/>
      <c r="H6" s="23"/>
      <c r="I6" s="23"/>
      <c r="J6" s="23"/>
      <c r="K6" s="23"/>
      <c r="L6" s="23"/>
      <c r="M6" s="32" t="s">
        <v>63</v>
      </c>
      <c r="N6" s="33" t="s">
        <v>68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>
      <c r="A7" s="27" t="s">
        <v>69</v>
      </c>
      <c r="B7" s="34" t="s">
        <v>70</v>
      </c>
      <c r="C7" s="35" t="s">
        <v>71</v>
      </c>
      <c r="D7" s="22"/>
      <c r="E7" s="23"/>
      <c r="F7" s="23"/>
      <c r="G7" s="23"/>
      <c r="H7" s="23"/>
      <c r="I7" s="23"/>
      <c r="J7" s="23"/>
      <c r="K7" s="23"/>
      <c r="L7" s="23"/>
      <c r="M7" s="36" t="s">
        <v>72</v>
      </c>
      <c r="N7" s="36" t="s">
        <v>73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37"/>
    </row>
    <row r="8" spans="1:27">
      <c r="A8" s="23" t="s">
        <v>129</v>
      </c>
      <c r="B8" s="23" t="s">
        <v>130</v>
      </c>
      <c r="C8" s="23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37"/>
    </row>
    <row r="9" spans="1:27">
      <c r="A9" s="23"/>
      <c r="B9" s="23"/>
      <c r="C9" s="23"/>
      <c r="D9" s="22"/>
      <c r="E9" s="23"/>
      <c r="F9" s="23" t="s">
        <v>74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37"/>
    </row>
    <row r="10" spans="1:27">
      <c r="A10" s="23"/>
      <c r="B10" s="23"/>
      <c r="C10" s="23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37"/>
    </row>
    <row r="11" spans="1:27">
      <c r="A11" s="23"/>
      <c r="B11" s="23"/>
      <c r="C11" s="23"/>
      <c r="D11" s="22"/>
      <c r="E11" s="23"/>
      <c r="F11" s="31" t="s">
        <v>75</v>
      </c>
      <c r="G11" s="38">
        <v>41976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37"/>
    </row>
    <row r="12" spans="1:27" ht="52">
      <c r="A12" s="39" t="s">
        <v>76</v>
      </c>
      <c r="B12" s="40" t="s">
        <v>77</v>
      </c>
      <c r="C12" s="40" t="s">
        <v>78</v>
      </c>
      <c r="D12" s="41" t="s">
        <v>79</v>
      </c>
      <c r="E12" s="42" t="s">
        <v>80</v>
      </c>
      <c r="F12" s="43" t="s">
        <v>81</v>
      </c>
      <c r="G12" s="42" t="s">
        <v>82</v>
      </c>
      <c r="H12" s="42" t="s">
        <v>83</v>
      </c>
      <c r="I12" s="42" t="s">
        <v>84</v>
      </c>
      <c r="J12" s="42" t="s">
        <v>85</v>
      </c>
      <c r="K12" s="42" t="s">
        <v>86</v>
      </c>
      <c r="L12" s="42" t="s">
        <v>87</v>
      </c>
      <c r="M12" s="42" t="s">
        <v>88</v>
      </c>
      <c r="N12" s="42" t="s">
        <v>89</v>
      </c>
      <c r="O12" s="42" t="s">
        <v>90</v>
      </c>
      <c r="P12" s="43" t="s">
        <v>91</v>
      </c>
      <c r="Q12" s="43" t="s">
        <v>92</v>
      </c>
      <c r="R12" s="43" t="s">
        <v>93</v>
      </c>
      <c r="S12" s="42" t="s">
        <v>94</v>
      </c>
      <c r="T12" s="43" t="s">
        <v>95</v>
      </c>
      <c r="U12" s="43" t="s">
        <v>96</v>
      </c>
      <c r="V12" s="43" t="s">
        <v>97</v>
      </c>
      <c r="W12" s="43" t="s">
        <v>98</v>
      </c>
      <c r="X12" s="43" t="s">
        <v>99</v>
      </c>
      <c r="Y12" s="43" t="s">
        <v>100</v>
      </c>
      <c r="Z12" s="43" t="s">
        <v>101</v>
      </c>
      <c r="AA12" s="37"/>
    </row>
    <row r="13" spans="1:27">
      <c r="A13" s="48" t="s">
        <v>108</v>
      </c>
      <c r="B13" s="49">
        <v>2.56</v>
      </c>
      <c r="C13" s="49" t="s">
        <v>102</v>
      </c>
      <c r="D13" s="49" t="s">
        <v>103</v>
      </c>
      <c r="E13" s="50" t="s">
        <v>109</v>
      </c>
      <c r="F13" s="50" t="s">
        <v>109</v>
      </c>
      <c r="G13" s="50" t="s">
        <v>104</v>
      </c>
      <c r="H13" s="50" t="s">
        <v>110</v>
      </c>
      <c r="I13" s="50" t="s">
        <v>111</v>
      </c>
      <c r="J13" s="50" t="s">
        <v>106</v>
      </c>
      <c r="K13" s="50" t="s">
        <v>107</v>
      </c>
      <c r="L13" s="51">
        <v>41395</v>
      </c>
      <c r="M13" s="50">
        <v>7910273.792626</v>
      </c>
      <c r="N13" s="50">
        <v>585794.92397300003</v>
      </c>
      <c r="O13" s="50">
        <v>4.7930000000000001</v>
      </c>
      <c r="P13" s="50" t="s">
        <v>62</v>
      </c>
      <c r="Q13" s="50"/>
      <c r="R13" s="52"/>
      <c r="S13" s="52" t="s">
        <v>63</v>
      </c>
      <c r="T13" s="53" t="s">
        <v>63</v>
      </c>
      <c r="U13" s="54" t="s">
        <v>63</v>
      </c>
      <c r="V13" s="54" t="s">
        <v>63</v>
      </c>
      <c r="W13" s="53" t="s">
        <v>63</v>
      </c>
      <c r="X13" s="52" t="s">
        <v>72</v>
      </c>
      <c r="Y13" s="23"/>
      <c r="Z13" s="23"/>
      <c r="AA13" s="37"/>
    </row>
    <row r="14" spans="1:27">
      <c r="A14" s="55" t="s">
        <v>112</v>
      </c>
      <c r="B14" s="56">
        <v>2.56</v>
      </c>
      <c r="C14" s="56" t="s">
        <v>102</v>
      </c>
      <c r="D14" s="56" t="s">
        <v>113</v>
      </c>
      <c r="E14" s="44" t="s">
        <v>114</v>
      </c>
      <c r="F14" s="44" t="s">
        <v>114</v>
      </c>
      <c r="G14" s="44" t="s">
        <v>115</v>
      </c>
      <c r="H14" s="44" t="s">
        <v>110</v>
      </c>
      <c r="I14" s="44" t="s">
        <v>105</v>
      </c>
      <c r="J14" s="44" t="s">
        <v>106</v>
      </c>
      <c r="K14" s="44" t="s">
        <v>107</v>
      </c>
      <c r="L14" s="45">
        <v>41395</v>
      </c>
      <c r="M14" s="44">
        <v>7910301.6892609997</v>
      </c>
      <c r="N14" s="44">
        <v>585853.74337499996</v>
      </c>
      <c r="O14" s="44">
        <v>4.8659999999999997</v>
      </c>
      <c r="P14" s="44" t="s">
        <v>62</v>
      </c>
      <c r="Q14" s="44"/>
      <c r="R14" s="46"/>
      <c r="S14" s="46" t="s">
        <v>63</v>
      </c>
      <c r="T14" s="57" t="s">
        <v>63</v>
      </c>
      <c r="U14" s="58" t="s">
        <v>63</v>
      </c>
      <c r="V14" s="58" t="s">
        <v>63</v>
      </c>
      <c r="W14" s="57" t="s">
        <v>63</v>
      </c>
      <c r="X14" s="46" t="s">
        <v>72</v>
      </c>
      <c r="Y14" s="47"/>
      <c r="Z14" s="47"/>
      <c r="AA14" s="37"/>
    </row>
    <row r="15" spans="1:27">
      <c r="A15" s="48" t="s">
        <v>118</v>
      </c>
      <c r="B15" s="49">
        <v>2.56</v>
      </c>
      <c r="C15" s="49" t="s">
        <v>102</v>
      </c>
      <c r="D15" s="49" t="s">
        <v>113</v>
      </c>
      <c r="E15" s="52" t="s">
        <v>119</v>
      </c>
      <c r="F15" s="52" t="s">
        <v>119</v>
      </c>
      <c r="G15" s="52" t="s">
        <v>115</v>
      </c>
      <c r="H15" s="52" t="s">
        <v>120</v>
      </c>
      <c r="I15" s="52" t="s">
        <v>105</v>
      </c>
      <c r="J15" s="52" t="s">
        <v>106</v>
      </c>
      <c r="K15" s="52" t="s">
        <v>107</v>
      </c>
      <c r="L15" s="59">
        <v>41395</v>
      </c>
      <c r="M15" s="52">
        <v>7910396.6393100005</v>
      </c>
      <c r="N15" s="52">
        <v>585917.43641600001</v>
      </c>
      <c r="O15" s="52">
        <v>4.8339999999999996</v>
      </c>
      <c r="P15" s="52" t="s">
        <v>62</v>
      </c>
      <c r="Q15" s="52"/>
      <c r="R15" s="52"/>
      <c r="S15" s="52" t="s">
        <v>63</v>
      </c>
      <c r="T15" s="53" t="s">
        <v>63</v>
      </c>
      <c r="U15" s="54" t="s">
        <v>63</v>
      </c>
      <c r="V15" s="54" t="s">
        <v>63</v>
      </c>
      <c r="W15" s="53" t="s">
        <v>63</v>
      </c>
      <c r="X15" s="52" t="s">
        <v>72</v>
      </c>
      <c r="Y15" s="23"/>
      <c r="Z15" s="23"/>
    </row>
    <row r="16" spans="1:27">
      <c r="A16" s="55" t="s">
        <v>121</v>
      </c>
      <c r="B16" s="56">
        <v>2.56</v>
      </c>
      <c r="C16" s="56" t="s">
        <v>102</v>
      </c>
      <c r="D16" s="56" t="s">
        <v>113</v>
      </c>
      <c r="E16" s="44" t="s">
        <v>122</v>
      </c>
      <c r="F16" s="44" t="s">
        <v>122</v>
      </c>
      <c r="G16" s="44" t="s">
        <v>123</v>
      </c>
      <c r="H16" s="44" t="s">
        <v>120</v>
      </c>
      <c r="I16" s="44" t="s">
        <v>117</v>
      </c>
      <c r="J16" s="44" t="s">
        <v>106</v>
      </c>
      <c r="K16" s="44" t="s">
        <v>107</v>
      </c>
      <c r="L16" s="45">
        <v>41395</v>
      </c>
      <c r="M16" s="44">
        <v>7910328.9971000003</v>
      </c>
      <c r="N16" s="44">
        <v>585384.65020000003</v>
      </c>
      <c r="O16" s="44">
        <v>4.665</v>
      </c>
      <c r="P16" s="44" t="s">
        <v>62</v>
      </c>
      <c r="Q16" s="44"/>
      <c r="R16" s="46"/>
      <c r="S16" s="46" t="s">
        <v>63</v>
      </c>
      <c r="T16" s="57" t="s">
        <v>63</v>
      </c>
      <c r="U16" s="58" t="s">
        <v>63</v>
      </c>
      <c r="V16" s="58" t="s">
        <v>22</v>
      </c>
      <c r="W16" s="57" t="s">
        <v>63</v>
      </c>
      <c r="X16" s="46" t="s">
        <v>72</v>
      </c>
      <c r="Y16" s="46"/>
      <c r="Z16" s="47"/>
    </row>
    <row r="17" spans="1:26">
      <c r="A17" s="60" t="s">
        <v>124</v>
      </c>
      <c r="B17" s="61">
        <v>2.56</v>
      </c>
      <c r="C17" s="61" t="s">
        <v>102</v>
      </c>
      <c r="D17" s="61" t="s">
        <v>116</v>
      </c>
      <c r="E17" s="62" t="s">
        <v>125</v>
      </c>
      <c r="F17" s="62" t="s">
        <v>125</v>
      </c>
      <c r="G17" s="62" t="s">
        <v>123</v>
      </c>
      <c r="H17" s="62" t="s">
        <v>120</v>
      </c>
      <c r="I17" s="62" t="s">
        <v>105</v>
      </c>
      <c r="J17" s="62" t="s">
        <v>106</v>
      </c>
      <c r="K17" s="62" t="s">
        <v>107</v>
      </c>
      <c r="L17" s="63">
        <v>41395</v>
      </c>
      <c r="M17" s="62">
        <v>7910326.1944000004</v>
      </c>
      <c r="N17" s="62">
        <v>585392.65789999999</v>
      </c>
      <c r="O17" s="62">
        <v>4.444</v>
      </c>
      <c r="P17" s="62" t="s">
        <v>62</v>
      </c>
      <c r="Q17" s="62"/>
      <c r="R17" s="64"/>
      <c r="S17" s="64" t="s">
        <v>63</v>
      </c>
      <c r="T17" s="65" t="s">
        <v>63</v>
      </c>
      <c r="U17" s="66" t="s">
        <v>63</v>
      </c>
      <c r="V17" s="66" t="s">
        <v>63</v>
      </c>
      <c r="W17" s="65" t="s">
        <v>63</v>
      </c>
      <c r="X17" s="64" t="s">
        <v>72</v>
      </c>
      <c r="Y17" s="64"/>
      <c r="Z17" s="37"/>
    </row>
    <row r="18" spans="1:26">
      <c r="A18" s="55" t="s">
        <v>126</v>
      </c>
      <c r="B18" s="56">
        <v>2.56</v>
      </c>
      <c r="C18" s="56" t="s">
        <v>102</v>
      </c>
      <c r="D18" s="56" t="s">
        <v>113</v>
      </c>
      <c r="E18" s="44" t="s">
        <v>127</v>
      </c>
      <c r="F18" s="44" t="s">
        <v>127</v>
      </c>
      <c r="G18" s="44" t="s">
        <v>123</v>
      </c>
      <c r="H18" s="44" t="s">
        <v>120</v>
      </c>
      <c r="I18" s="44" t="s">
        <v>105</v>
      </c>
      <c r="J18" s="44" t="s">
        <v>106</v>
      </c>
      <c r="K18" s="44" t="s">
        <v>107</v>
      </c>
      <c r="L18" s="45">
        <v>41395</v>
      </c>
      <c r="M18" s="44">
        <v>7910522.6209000004</v>
      </c>
      <c r="N18" s="44">
        <v>585967.49719999998</v>
      </c>
      <c r="O18" s="44">
        <v>4.2270000000000003</v>
      </c>
      <c r="P18" s="44" t="s">
        <v>62</v>
      </c>
      <c r="Q18" s="44"/>
      <c r="R18" s="46"/>
      <c r="S18" s="46" t="s">
        <v>63</v>
      </c>
      <c r="T18" s="57" t="s">
        <v>63</v>
      </c>
      <c r="U18" s="58" t="s">
        <v>63</v>
      </c>
      <c r="V18" s="58" t="s">
        <v>63</v>
      </c>
      <c r="W18" s="57" t="s">
        <v>63</v>
      </c>
      <c r="X18" s="46" t="s">
        <v>72</v>
      </c>
      <c r="Y18" s="46"/>
      <c r="Z18" s="47"/>
    </row>
  </sheetData>
  <mergeCells count="2">
    <mergeCell ref="B2:C2"/>
    <mergeCell ref="F3:K4"/>
  </mergeCells>
  <hyperlinks>
    <hyperlink ref="C7" r:id="rId1"/>
    <hyperlink ref="B7" r:id="rId2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1" sqref="H31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Metadata</vt:lpstr>
      <vt:lpstr>plots</vt:lpstr>
    </vt:vector>
  </TitlesOfParts>
  <Company>LBNL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McKnight</dc:creator>
  <cp:lastModifiedBy>Katie McKnight</cp:lastModifiedBy>
  <dcterms:created xsi:type="dcterms:W3CDTF">2014-08-27T00:21:47Z</dcterms:created>
  <dcterms:modified xsi:type="dcterms:W3CDTF">2015-02-16T00:43:45Z</dcterms:modified>
</cp:coreProperties>
</file>